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heet_info" sheetId="1" state="visible" r:id="rId1"/>
    <sheet name="comments" sheetId="2" state="visible" r:id="rId2"/>
    <sheet name="summary" sheetId="3" state="visible" r:id="rId3"/>
    <sheet name="reviewer_summary" sheetId="4" state="visible" r:id="rId4"/>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2">
    <fill>
      <patternFill/>
    </fill>
    <fill>
      <patternFill patternType="gray125"/>
    </fill>
  </fills>
  <borders count="2">
    <border>
      <left/>
      <right/>
      <top/>
      <bottom/>
      <diagonal/>
    </border>
    <border>
      <left style="thin"/>
      <right style="thin"/>
      <top style="thin"/>
      <bottom style="thin"/>
    </border>
  </borders>
  <cellStyleXfs count="1">
    <xf numFmtId="0" fontId="0" fillId="0" borderId="0"/>
  </cellStyleXfs>
  <cellXfs count="3">
    <xf numFmtId="0" fontId="0" fillId="0" borderId="0" pivotButton="0" quotePrefix="0" xfId="0"/>
    <xf numFmtId="0" fontId="1" fillId="0" borderId="0" applyAlignment="1" pivotButton="0" quotePrefix="0" xfId="0">
      <alignment horizontal="center" vertical="center"/>
    </xf>
    <xf numFmtId="0" fontId="1" fillId="0" borderId="1" applyAlignment="1" pivotButton="0" quotePrefix="0" xfId="0">
      <alignment horizontal="center" vertical="top"/>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styles" Target="styles.xml" Id="rId5" /><Relationship Type="http://schemas.openxmlformats.org/officeDocument/2006/relationships/theme" Target="theme/theme1.xml" Id="rId6"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45"/>
  <sheetViews>
    <sheetView workbookViewId="0">
      <selection activeCell="A1" sqref="A1"/>
    </sheetView>
  </sheetViews>
  <sheetFormatPr baseColWidth="8" defaultRowHeight="15"/>
  <sheetData>
    <row r="1">
      <c r="A1" s="1" t="inlineStr">
        <is>
          <t>comments</t>
        </is>
      </c>
    </row>
    <row r="2">
      <c r="A2" s="1" t="inlineStr">
        <is>
          <t>Column Name</t>
        </is>
      </c>
      <c r="B2" s="1" t="inlineStr">
        <is>
          <t>Description</t>
        </is>
      </c>
    </row>
    <row r="3">
      <c r="A3" t="inlineStr">
        <is>
          <t>Username</t>
        </is>
      </c>
      <c r="B3" t="inlineStr">
        <is>
          <t>Username of the person who created the pull request.</t>
        </is>
      </c>
    </row>
    <row r="4">
      <c r="A4" t="inlineStr">
        <is>
          <t>Employee Name</t>
        </is>
      </c>
      <c r="B4" t="inlineStr">
        <is>
          <t>Full name of the PR author.</t>
        </is>
      </c>
    </row>
    <row r="5">
      <c r="A5" t="inlineStr">
        <is>
          <t>Employee Email</t>
        </is>
      </c>
      <c r="B5" t="inlineStr">
        <is>
          <t>Email address of the PR author.</t>
        </is>
      </c>
    </row>
    <row r="6">
      <c r="A6" t="inlineStr">
        <is>
          <t>Group Name</t>
        </is>
      </c>
      <c r="B6" t="inlineStr">
        <is>
          <t>GitLab group or organization name containing the repository.</t>
        </is>
      </c>
    </row>
    <row r="7">
      <c r="A7" t="inlineStr">
        <is>
          <t>Repository Name</t>
        </is>
      </c>
      <c r="B7" t="inlineStr">
        <is>
          <t>Name of the GitLab repository.</t>
        </is>
      </c>
    </row>
    <row r="8">
      <c r="A8" t="inlineStr">
        <is>
          <t>Merge Request Title</t>
        </is>
      </c>
      <c r="B8" t="inlineStr">
        <is>
          <t>Title of the merge request.</t>
        </is>
      </c>
    </row>
    <row r="9">
      <c r="A9" t="inlineStr">
        <is>
          <t>Source Branch</t>
        </is>
      </c>
      <c r="B9" t="inlineStr">
        <is>
          <t>The branch from which the code changes originate.</t>
        </is>
      </c>
    </row>
    <row r="10">
      <c r="A10" t="inlineStr">
        <is>
          <t>Target Branch</t>
        </is>
      </c>
      <c r="B10" t="inlineStr">
        <is>
          <t>The branch into which the code changes are to be merged.</t>
        </is>
      </c>
    </row>
    <row r="11">
      <c r="A11" t="inlineStr">
        <is>
          <t>Merge Request State</t>
        </is>
      </c>
      <c r="B11" t="inlineStr">
        <is>
          <t>Current status of the merge request (e.g., merged, open, closed).</t>
        </is>
      </c>
    </row>
    <row r="12">
      <c r="A12" t="inlineStr">
        <is>
          <t>Thread ID</t>
        </is>
      </c>
      <c r="B12" t="inlineStr">
        <is>
          <t>Discussion ID in a PR; same for all comments in the same discussion.</t>
        </is>
      </c>
    </row>
    <row r="13">
      <c r="A13" t="inlineStr">
        <is>
          <t>Comment Body</t>
        </is>
      </c>
      <c r="B13" t="inlineStr">
        <is>
          <t>The actual text of the comment made in the discussion.</t>
        </is>
      </c>
    </row>
    <row r="14">
      <c r="A14" t="inlineStr">
        <is>
          <t>Comment Added On</t>
        </is>
      </c>
      <c r="B14" t="inlineStr">
        <is>
          <t>Timestamp when the comment was posted.</t>
        </is>
      </c>
    </row>
    <row r="15">
      <c r="A15" t="inlineStr">
        <is>
          <t>Comment Added By</t>
        </is>
      </c>
      <c r="B15" t="inlineStr">
        <is>
          <t>The user who added the comment.</t>
        </is>
      </c>
    </row>
    <row r="16">
      <c r="A16" t="inlineStr">
        <is>
          <t>Is Reviewer Comment</t>
        </is>
      </c>
      <c r="B16" t="inlineStr">
        <is>
          <t>Indicates if the comment was made by a reviewer (Yes/No).</t>
        </is>
      </c>
    </row>
    <row r="17">
      <c r="A17" t="inlineStr">
        <is>
          <t>Is Comment Resolved</t>
        </is>
      </c>
      <c r="B17" t="inlineStr">
        <is>
          <t>Indicates if the comment has been marked as resolved (Yes/No).</t>
        </is>
      </c>
    </row>
    <row r="18">
      <c r="A18" t="inlineStr">
        <is>
          <t>Resolved By</t>
        </is>
      </c>
      <c r="B18" t="inlineStr">
        <is>
          <t>The user who marked the comment as resolved.</t>
        </is>
      </c>
    </row>
    <row r="19">
      <c r="A19" t="inlineStr">
        <is>
          <t>Sentiment</t>
        </is>
      </c>
      <c r="B19" t="inlineStr">
        <is>
          <t>Sentiment for the discussion thread (Good, Bad, or Neutral).</t>
        </is>
      </c>
    </row>
    <row r="21">
      <c r="A21" s="1" t="inlineStr">
        <is>
          <t>summary</t>
        </is>
      </c>
    </row>
    <row r="22">
      <c r="A22" s="1" t="inlineStr">
        <is>
          <t>Column Name</t>
        </is>
      </c>
      <c r="B22" s="1" t="inlineStr">
        <is>
          <t>Description</t>
        </is>
      </c>
    </row>
    <row r="23">
      <c r="A23" t="inlineStr">
        <is>
          <t>Employee Name</t>
        </is>
      </c>
      <c r="B23" t="inlineStr">
        <is>
          <t>Full name of the employee who submitted the PRs.</t>
        </is>
      </c>
    </row>
    <row r="24">
      <c r="A24" t="inlineStr">
        <is>
          <t>Employee Email</t>
        </is>
      </c>
      <c r="B24" t="inlineStr">
        <is>
          <t>Email address of the employee.</t>
        </is>
      </c>
    </row>
    <row r="25">
      <c r="A25" t="inlineStr">
        <is>
          <t>Submitted PRs</t>
        </is>
      </c>
      <c r="B25" t="inlineStr">
        <is>
          <t>Total number of PRs submitted by the employee.</t>
        </is>
      </c>
    </row>
    <row r="26">
      <c r="A26" t="inlineStr">
        <is>
          <t>Merged PRs</t>
        </is>
      </c>
      <c r="B26" t="inlineStr">
        <is>
          <t>Number of the employee's PRs that have been merged.</t>
        </is>
      </c>
    </row>
    <row r="27">
      <c r="A27" t="inlineStr">
        <is>
          <t>Open PRs</t>
        </is>
      </c>
      <c r="B27" t="inlineStr">
        <is>
          <t>Number of the employee's PRs that are currently open.</t>
        </is>
      </c>
    </row>
    <row r="28">
      <c r="A28" t="inlineStr">
        <is>
          <t>Closed PRs</t>
        </is>
      </c>
      <c r="B28" t="inlineStr">
        <is>
          <t>Number of the employee's PRs that were closed without merging.</t>
        </is>
      </c>
    </row>
    <row r="29">
      <c r="A29" t="inlineStr">
        <is>
          <t>No. of Reviewer Comments</t>
        </is>
      </c>
      <c r="B29" t="inlineStr">
        <is>
          <t>Total number of comments made by reviewers on the employee's PRs.</t>
        </is>
      </c>
    </row>
    <row r="30">
      <c r="A30" t="inlineStr">
        <is>
          <t>No. of Threads</t>
        </is>
      </c>
      <c r="B30" t="inlineStr">
        <is>
          <t>Total number of discussion threads in the employee's PRs.</t>
        </is>
      </c>
    </row>
    <row r="31">
      <c r="A31" t="inlineStr">
        <is>
          <t>Avg. No. of Comments</t>
        </is>
      </c>
      <c r="B31" t="inlineStr">
        <is>
          <t>Average number of reviewer comments per PR (Reviewer Comments / Submitted PRs).</t>
        </is>
      </c>
    </row>
    <row r="32">
      <c r="A32" t="inlineStr">
        <is>
          <t>Good Count</t>
        </is>
      </c>
      <c r="B32" t="inlineStr">
        <is>
          <t>Number of discussion threads with Good sentiment.</t>
        </is>
      </c>
    </row>
    <row r="33">
      <c r="A33" t="inlineStr">
        <is>
          <t>Bad Count</t>
        </is>
      </c>
      <c r="B33" t="inlineStr">
        <is>
          <t>Number of discussion threads with Bad sentiment.</t>
        </is>
      </c>
    </row>
    <row r="34">
      <c r="A34" t="inlineStr">
        <is>
          <t>Neutral Count</t>
        </is>
      </c>
      <c r="B34" t="inlineStr">
        <is>
          <t>Number of discussion threads with Neutral sentiment.</t>
        </is>
      </c>
    </row>
    <row r="36">
      <c r="A36" s="1" t="inlineStr">
        <is>
          <t>reviewer_summary</t>
        </is>
      </c>
    </row>
    <row r="37">
      <c r="A37" s="1" t="inlineStr">
        <is>
          <t>Column Name</t>
        </is>
      </c>
      <c r="B37" s="1" t="inlineStr">
        <is>
          <t>Description</t>
        </is>
      </c>
    </row>
    <row r="38">
      <c r="A38" t="inlineStr">
        <is>
          <t>Reviewer Name</t>
        </is>
      </c>
      <c r="B38" t="inlineStr">
        <is>
          <t>The person reviewing PRs.</t>
        </is>
      </c>
    </row>
    <row r="39">
      <c r="A39" t="inlineStr">
        <is>
          <t>Comments in PR</t>
        </is>
      </c>
      <c r="B39" t="inlineStr">
        <is>
          <t>Total comments made by the reviewer.</t>
        </is>
      </c>
    </row>
    <row r="40">
      <c r="A40" t="inlineStr">
        <is>
          <t>Threads Count</t>
        </is>
      </c>
      <c r="B40" t="inlineStr">
        <is>
          <t>Number of threads/discussions the reviewer participated in.</t>
        </is>
      </c>
    </row>
    <row r="41">
      <c r="A41" t="inlineStr">
        <is>
          <t>PRs Merged</t>
        </is>
      </c>
      <c r="B41" t="inlineStr">
        <is>
          <t>Number of PRs merged by this person.</t>
        </is>
      </c>
    </row>
    <row r="42">
      <c r="A42" t="inlineStr">
        <is>
          <t>PRs Reviewed</t>
        </is>
      </c>
      <c r="B42" t="inlineStr">
        <is>
          <t>Number of PRs reviewed by this person.</t>
        </is>
      </c>
    </row>
    <row r="43">
      <c r="A43" t="inlineStr">
        <is>
          <t>Good Count</t>
        </is>
      </c>
      <c r="B43" t="inlineStr">
        <is>
          <t>Threads with Good sentiment reviewer was involved in.</t>
        </is>
      </c>
    </row>
    <row r="44">
      <c r="A44" t="inlineStr">
        <is>
          <t>Bad Count</t>
        </is>
      </c>
      <c r="B44" t="inlineStr">
        <is>
          <t>Threads with Bad sentiment reviewer was involved in.</t>
        </is>
      </c>
    </row>
    <row r="45">
      <c r="A45" t="inlineStr">
        <is>
          <t>Neutral Count</t>
        </is>
      </c>
      <c r="B45" t="inlineStr">
        <is>
          <t>Threads with Neutral sentiment reviewer was involved in.</t>
        </is>
      </c>
    </row>
  </sheetData>
  <mergeCells count="3">
    <mergeCell ref="A36:B36"/>
    <mergeCell ref="A21:B21"/>
    <mergeCell ref="A1:B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Q3904"/>
  <sheetViews>
    <sheetView workbookViewId="0">
      <selection activeCell="A1" sqref="A1"/>
    </sheetView>
  </sheetViews>
  <sheetFormatPr baseColWidth="8" defaultRowHeight="15"/>
  <sheetData>
    <row r="1">
      <c r="A1" s="2" t="inlineStr">
        <is>
          <t>Username</t>
        </is>
      </c>
      <c r="B1" s="2" t="inlineStr">
        <is>
          <t>Employee Name</t>
        </is>
      </c>
      <c r="C1" s="2" t="inlineStr">
        <is>
          <t>Employee Email</t>
        </is>
      </c>
      <c r="D1" s="2" t="inlineStr">
        <is>
          <t>Group Name</t>
        </is>
      </c>
      <c r="E1" s="2" t="inlineStr">
        <is>
          <t>Repository Name</t>
        </is>
      </c>
      <c r="F1" s="2" t="inlineStr">
        <is>
          <t>Merge Request Title</t>
        </is>
      </c>
      <c r="G1" s="2" t="inlineStr">
        <is>
          <t>Source Branch</t>
        </is>
      </c>
      <c r="H1" s="2" t="inlineStr">
        <is>
          <t>Target Branch</t>
        </is>
      </c>
      <c r="I1" s="2" t="inlineStr">
        <is>
          <t>Merge Request State</t>
        </is>
      </c>
      <c r="J1" s="2" t="inlineStr">
        <is>
          <t>Thread ID</t>
        </is>
      </c>
      <c r="K1" s="2" t="inlineStr">
        <is>
          <t>Comment Body</t>
        </is>
      </c>
      <c r="L1" s="2" t="inlineStr">
        <is>
          <t>Comment Added On</t>
        </is>
      </c>
      <c r="M1" s="2" t="inlineStr">
        <is>
          <t>Comment Added By</t>
        </is>
      </c>
      <c r="N1" s="2" t="inlineStr">
        <is>
          <t>Is Reviewer Comment</t>
        </is>
      </c>
      <c r="O1" s="2" t="inlineStr">
        <is>
          <t>Is Comment Resolved</t>
        </is>
      </c>
      <c r="P1" s="2" t="inlineStr">
        <is>
          <t>Resolved By</t>
        </is>
      </c>
      <c r="Q1" s="2" t="inlineStr">
        <is>
          <t>Sentiment</t>
        </is>
      </c>
    </row>
    <row r="2">
      <c r="A2" t="inlineStr">
        <is>
          <t>jayani.s</t>
        </is>
      </c>
      <c r="B2" t="inlineStr">
        <is>
          <t>Jayani Sehgal</t>
        </is>
      </c>
      <c r="C2" t="inlineStr">
        <is>
          <t>jayani.s@osmosys.co</t>
        </is>
      </c>
      <c r="D2" t="inlineStr">
        <is>
          <t>pinestem</t>
        </is>
      </c>
      <c r="E2">
        <f>HYPERLINK("http://gitlab.osmosys.co/pinestem/pinestem-portal", "PineStemPortal")</f>
        <v/>
      </c>
      <c r="F2">
        <f>HYPERLINK("http://gitlab.osmosys.co/pinestem/pinestem-portal/-/merge_requests/4866", "Fix: Force xmlhttprequest-ssl@1.6.2 to patch critical code injection and cert...")</f>
        <v/>
      </c>
      <c r="G2" t="inlineStr">
        <is>
          <t>fix/semver-regex-redos</t>
        </is>
      </c>
      <c r="H2" t="inlineStr">
        <is>
          <t>Sprint-56</t>
        </is>
      </c>
      <c r="I2" t="inlineStr">
        <is>
          <t>opened</t>
        </is>
      </c>
      <c r="J2" t="inlineStr"/>
      <c r="K2" t="inlineStr"/>
      <c r="L2" t="inlineStr"/>
      <c r="M2" t="inlineStr"/>
      <c r="N2" t="inlineStr"/>
      <c r="O2" t="inlineStr"/>
      <c r="P2" t="inlineStr"/>
      <c r="Q2" t="inlineStr"/>
    </row>
    <row r="3">
      <c r="A3" t="inlineStr">
        <is>
          <t>jayani.s</t>
        </is>
      </c>
      <c r="B3" t="inlineStr">
        <is>
          <t>Jayani Sehgal</t>
        </is>
      </c>
      <c r="C3" t="inlineStr">
        <is>
          <t>jayani.s@osmosys.co</t>
        </is>
      </c>
      <c r="D3" t="inlineStr">
        <is>
          <t>pinestem</t>
        </is>
      </c>
      <c r="E3">
        <f>HYPERLINK("http://gitlab.osmosys.co/pinestem/pinestem-portal", "PineStemPortal")</f>
        <v/>
      </c>
      <c r="F3">
        <f>HYPERLINK("http://gitlab.osmosys.co/pinestem/pinestem-portal/-/merge_requests/4865", "Fix: Updated tough-cookie to &gt;=4.1.3 to resolve prototype pollution vulnerability")</f>
        <v/>
      </c>
      <c r="G3" t="inlineStr">
        <is>
          <t>fix/tough-cookie-vulnerability</t>
        </is>
      </c>
      <c r="H3" t="inlineStr">
        <is>
          <t>Sprint-56</t>
        </is>
      </c>
      <c r="I3" t="inlineStr">
        <is>
          <t>opened</t>
        </is>
      </c>
      <c r="J3" t="inlineStr"/>
      <c r="K3" t="inlineStr"/>
      <c r="L3" t="inlineStr"/>
      <c r="M3" t="inlineStr"/>
      <c r="N3" t="inlineStr"/>
      <c r="O3" t="inlineStr"/>
      <c r="P3" t="inlineStr"/>
      <c r="Q3" t="inlineStr"/>
    </row>
    <row r="4">
      <c r="A4" t="inlineStr">
        <is>
          <t>jayani.s</t>
        </is>
      </c>
      <c r="B4" t="inlineStr">
        <is>
          <t>Jayani Sehgal</t>
        </is>
      </c>
      <c r="C4" t="inlineStr">
        <is>
          <t>jayani.s@osmosys.co</t>
        </is>
      </c>
      <c r="D4" t="inlineStr">
        <is>
          <t>pinestem</t>
        </is>
      </c>
      <c r="E4">
        <f>HYPERLINK("http://gitlab.osmosys.co/pinestem/pinestem-portal", "PineStemPortal")</f>
        <v/>
      </c>
      <c r="F4">
        <f>HYPERLINK("http://gitlab.osmosys.co/pinestem/pinestem-portal/-/merge_requests/4863", "UI enhancement of Kanban Board")</f>
        <v/>
      </c>
      <c r="G4" t="inlineStr">
        <is>
          <t>feature/kanban-ui_enhancement</t>
        </is>
      </c>
      <c r="H4" t="inlineStr">
        <is>
          <t>Sprint-56</t>
        </is>
      </c>
      <c r="I4" t="inlineStr">
        <is>
          <t>opened</t>
        </is>
      </c>
      <c r="J4" t="inlineStr"/>
      <c r="K4" t="inlineStr"/>
      <c r="L4" t="inlineStr"/>
      <c r="M4" t="inlineStr"/>
      <c r="N4" t="inlineStr"/>
      <c r="O4" t="inlineStr"/>
      <c r="P4" t="inlineStr"/>
      <c r="Q4" t="inlineStr"/>
    </row>
    <row r="5">
      <c r="A5" t="inlineStr">
        <is>
          <t>jayani.s</t>
        </is>
      </c>
      <c r="B5" t="inlineStr">
        <is>
          <t>Jayani Sehgal</t>
        </is>
      </c>
      <c r="C5" t="inlineStr">
        <is>
          <t>jayani.s@osmosys.co</t>
        </is>
      </c>
      <c r="D5" t="inlineStr">
        <is>
          <t>pinestem</t>
        </is>
      </c>
      <c r="E5">
        <f>HYPERLINK("http://gitlab.osmosys.co/pinestem/pinestem-portal", "PineStemPortal")</f>
        <v/>
      </c>
      <c r="F5">
        <f>HYPERLINK("http://gitlab.osmosys.co/pinestem/pinestem-portal/-/merge_requests/4862", "fixed the resource load graph issue")</f>
        <v/>
      </c>
      <c r="G5" t="inlineStr">
        <is>
          <t>feature/fix-resource-load-graph</t>
        </is>
      </c>
      <c r="H5" t="inlineStr">
        <is>
          <t>Sprint-56</t>
        </is>
      </c>
      <c r="I5" t="inlineStr">
        <is>
          <t>opened</t>
        </is>
      </c>
      <c r="J5" t="inlineStr"/>
      <c r="K5" t="inlineStr"/>
      <c r="L5" t="inlineStr"/>
      <c r="M5" t="inlineStr"/>
      <c r="N5" t="inlineStr"/>
      <c r="O5" t="inlineStr"/>
      <c r="P5" t="inlineStr"/>
      <c r="Q5" t="inlineStr"/>
    </row>
    <row r="6">
      <c r="A6" t="inlineStr">
        <is>
          <t>jayani.s</t>
        </is>
      </c>
      <c r="B6" t="inlineStr">
        <is>
          <t>Jayani Sehgal</t>
        </is>
      </c>
      <c r="C6" t="inlineStr">
        <is>
          <t>jayani.s@osmosys.co</t>
        </is>
      </c>
      <c r="D6" t="inlineStr">
        <is>
          <t>pinestem</t>
        </is>
      </c>
      <c r="E6">
        <f>HYPERLINK("http://gitlab.osmosys.co/pinestem/pinestem-portal", "PineStemPortal")</f>
        <v/>
      </c>
      <c r="F6">
        <f>HYPERLINK("http://gitlab.osmosys.co/pinestem/pinestem-portal/-/merge_requests/4861", "Feature/fix resource load graph")</f>
        <v/>
      </c>
      <c r="G6" t="inlineStr">
        <is>
          <t>feature/fix-resource-load-graph</t>
        </is>
      </c>
      <c r="H6" t="inlineStr">
        <is>
          <t>master</t>
        </is>
      </c>
      <c r="I6" t="inlineStr">
        <is>
          <t>opened</t>
        </is>
      </c>
      <c r="J6" t="inlineStr"/>
      <c r="K6" t="inlineStr"/>
      <c r="L6" t="inlineStr"/>
      <c r="M6" t="inlineStr"/>
      <c r="N6" t="inlineStr"/>
      <c r="O6" t="inlineStr"/>
      <c r="P6" t="inlineStr"/>
      <c r="Q6" t="inlineStr"/>
    </row>
    <row r="7">
      <c r="A7" t="inlineStr">
        <is>
          <t>jayani.s</t>
        </is>
      </c>
      <c r="B7" t="inlineStr">
        <is>
          <t>Jayani Sehgal</t>
        </is>
      </c>
      <c r="C7" t="inlineStr">
        <is>
          <t>jayani.s@osmosys.co</t>
        </is>
      </c>
      <c r="D7" t="inlineStr">
        <is>
          <t>pinestem</t>
        </is>
      </c>
      <c r="E7">
        <f>HYPERLINK("http://gitlab.osmosys.co/pinestem/pinestem-portal", "PineStemPortal")</f>
        <v/>
      </c>
      <c r="F7">
        <f>HYPERLINK("http://gitlab.osmosys.co/pinestem/pinestem-portal/-/merge_requests/4859", "Fix: Force xmlhttprequest-ssl@1.6.2 to patch critical code injection and cert...")</f>
        <v/>
      </c>
      <c r="G7" t="inlineStr">
        <is>
          <t>fix/ms-redos</t>
        </is>
      </c>
      <c r="H7" t="inlineStr">
        <is>
          <t>master</t>
        </is>
      </c>
      <c r="I7" t="inlineStr">
        <is>
          <t>opened</t>
        </is>
      </c>
      <c r="J7" t="inlineStr"/>
      <c r="K7" t="inlineStr"/>
      <c r="L7" t="inlineStr"/>
      <c r="M7" t="inlineStr"/>
      <c r="N7" t="inlineStr"/>
      <c r="O7" t="inlineStr"/>
      <c r="P7" t="inlineStr"/>
      <c r="Q7" t="inlineStr"/>
    </row>
    <row r="8">
      <c r="A8" t="inlineStr">
        <is>
          <t>jayani.s</t>
        </is>
      </c>
      <c r="B8" t="inlineStr">
        <is>
          <t>Jayani Sehgal</t>
        </is>
      </c>
      <c r="C8" t="inlineStr">
        <is>
          <t>jayani.s@osmosys.co</t>
        </is>
      </c>
      <c r="D8" t="inlineStr">
        <is>
          <t>pinestem</t>
        </is>
      </c>
      <c r="E8">
        <f>HYPERLINK("http://gitlab.osmosys.co/pinestem/pinestem-portal", "PineStemPortal")</f>
        <v/>
      </c>
      <c r="F8">
        <f>HYPERLINK("http://gitlab.osmosys.co/pinestem/pinestem-portal/-/merge_requests/4858", "Fix: Force xmlhttprequest-ssl@1.6.2 to patch critical code injection and cert...")</f>
        <v/>
      </c>
      <c r="G8" t="inlineStr">
        <is>
          <t>fix/parsejson-redos</t>
        </is>
      </c>
      <c r="H8" t="inlineStr">
        <is>
          <t>master</t>
        </is>
      </c>
      <c r="I8" t="inlineStr">
        <is>
          <t>opened</t>
        </is>
      </c>
      <c r="J8" t="inlineStr"/>
      <c r="K8" t="inlineStr"/>
      <c r="L8" t="inlineStr"/>
      <c r="M8" t="inlineStr"/>
      <c r="N8" t="inlineStr"/>
      <c r="O8" t="inlineStr"/>
      <c r="P8" t="inlineStr"/>
      <c r="Q8" t="inlineStr"/>
    </row>
    <row r="9">
      <c r="A9" t="inlineStr">
        <is>
          <t>jayani.s</t>
        </is>
      </c>
      <c r="B9" t="inlineStr">
        <is>
          <t>Jayani Sehgal</t>
        </is>
      </c>
      <c r="C9" t="inlineStr">
        <is>
          <t>jayani.s@osmosys.co</t>
        </is>
      </c>
      <c r="D9" t="inlineStr">
        <is>
          <t>pinestem</t>
        </is>
      </c>
      <c r="E9">
        <f>HYPERLINK("http://gitlab.osmosys.co/pinestem/pinestem-portal", "PineStemPortal")</f>
        <v/>
      </c>
      <c r="F9">
        <f>HYPERLINK("http://gitlab.osmosys.co/pinestem/pinestem-portal/-/merge_requests/4857", "Fix: Force xmlhttprequest-ssl@1.6.2 to patch critical code injection and cert...")</f>
        <v/>
      </c>
      <c r="G9" t="inlineStr">
        <is>
          <t>fix/js-yaml-dos-code-injection</t>
        </is>
      </c>
      <c r="H9" t="inlineStr">
        <is>
          <t>master</t>
        </is>
      </c>
      <c r="I9" t="inlineStr">
        <is>
          <t>opened</t>
        </is>
      </c>
      <c r="J9" t="inlineStr"/>
      <c r="K9" t="inlineStr"/>
      <c r="L9" t="inlineStr"/>
      <c r="M9" t="inlineStr"/>
      <c r="N9" t="inlineStr"/>
      <c r="O9" t="inlineStr"/>
      <c r="P9" t="inlineStr"/>
      <c r="Q9" t="inlineStr"/>
    </row>
    <row r="10">
      <c r="A10" t="inlineStr">
        <is>
          <t>jayani.s</t>
        </is>
      </c>
      <c r="B10" t="inlineStr">
        <is>
          <t>Jayani Sehgal</t>
        </is>
      </c>
      <c r="C10" t="inlineStr">
        <is>
          <t>jayani.s@osmosys.co</t>
        </is>
      </c>
      <c r="D10" t="inlineStr">
        <is>
          <t>pinestem</t>
        </is>
      </c>
      <c r="E10">
        <f>HYPERLINK("http://gitlab.osmosys.co/pinestem/pinestem-portal", "PineStemPortal")</f>
        <v/>
      </c>
      <c r="F10">
        <f>HYPERLINK("http://gitlab.osmosys.co/pinestem/pinestem-portal/-/merge_requests/4856", "Fix: Force xmlhttprequest-ssl@1.6.2 to patch critical code injection and cert...")</f>
        <v/>
      </c>
      <c r="G10" t="inlineStr">
        <is>
          <t>fix/semver-regex-redos</t>
        </is>
      </c>
      <c r="H10" t="inlineStr">
        <is>
          <t>master</t>
        </is>
      </c>
      <c r="I10" t="inlineStr">
        <is>
          <t>opened</t>
        </is>
      </c>
      <c r="J10" t="inlineStr"/>
      <c r="K10" t="inlineStr"/>
      <c r="L10" t="inlineStr"/>
      <c r="M10" t="inlineStr"/>
      <c r="N10" t="inlineStr"/>
      <c r="O10" t="inlineStr"/>
      <c r="P10" t="inlineStr"/>
      <c r="Q10" t="inlineStr"/>
    </row>
    <row r="11">
      <c r="A11" t="inlineStr">
        <is>
          <t>jayani.s</t>
        </is>
      </c>
      <c r="B11" t="inlineStr">
        <is>
          <t>Jayani Sehgal</t>
        </is>
      </c>
      <c r="C11" t="inlineStr">
        <is>
          <t>jayani.s@osmosys.co</t>
        </is>
      </c>
      <c r="D11" t="inlineStr">
        <is>
          <t>pinestem</t>
        </is>
      </c>
      <c r="E11">
        <f>HYPERLINK("http://gitlab.osmosys.co/pinestem/pinestem-portal", "PineStemPortal")</f>
        <v/>
      </c>
      <c r="F11">
        <f>HYPERLINK("http://gitlab.osmosys.co/pinestem/pinestem-portal/-/merge_requests/4855", "Fix: Force xmlhttprequest-ssl@1.6.2 to patch critical code injection and cert...")</f>
        <v/>
      </c>
      <c r="G11" t="inlineStr">
        <is>
          <t>fix/is-svg-redos</t>
        </is>
      </c>
      <c r="H11" t="inlineStr">
        <is>
          <t>master</t>
        </is>
      </c>
      <c r="I11" t="inlineStr">
        <is>
          <t>opened</t>
        </is>
      </c>
      <c r="J11" t="inlineStr"/>
      <c r="K11" t="inlineStr"/>
      <c r="L11" t="inlineStr"/>
      <c r="M11" t="inlineStr"/>
      <c r="N11" t="inlineStr"/>
      <c r="O11" t="inlineStr"/>
      <c r="P11" t="inlineStr"/>
      <c r="Q11" t="inlineStr"/>
    </row>
    <row r="12">
      <c r="A12" t="inlineStr">
        <is>
          <t>jayani.s</t>
        </is>
      </c>
      <c r="B12" t="inlineStr">
        <is>
          <t>Jayani Sehgal</t>
        </is>
      </c>
      <c r="C12" t="inlineStr">
        <is>
          <t>jayani.s@osmosys.co</t>
        </is>
      </c>
      <c r="D12" t="inlineStr">
        <is>
          <t>pinestem</t>
        </is>
      </c>
      <c r="E12">
        <f>HYPERLINK("http://gitlab.osmosys.co/pinestem/pinestem-portal", "PineStemPortal")</f>
        <v/>
      </c>
      <c r="F12">
        <f>HYPERLINK("http://gitlab.osmosys.co/pinestem/pinestem-portal/-/merge_requests/4854", "Fix: Force xmlhttprequest-ssl@1.6.2 to patch critical code injection and cert...")</f>
        <v/>
      </c>
      <c r="G12" t="inlineStr">
        <is>
          <t>fix/ajv-prototype-pollution</t>
        </is>
      </c>
      <c r="H12" t="inlineStr">
        <is>
          <t>master</t>
        </is>
      </c>
      <c r="I12" t="inlineStr">
        <is>
          <t>opened</t>
        </is>
      </c>
      <c r="J12" t="inlineStr"/>
      <c r="K12" t="inlineStr"/>
      <c r="L12" t="inlineStr"/>
      <c r="M12" t="inlineStr"/>
      <c r="N12" t="inlineStr"/>
      <c r="O12" t="inlineStr"/>
      <c r="P12" t="inlineStr"/>
      <c r="Q12" t="inlineStr"/>
    </row>
    <row r="13">
      <c r="A13" t="inlineStr">
        <is>
          <t>jayani.s</t>
        </is>
      </c>
      <c r="B13" t="inlineStr">
        <is>
          <t>Jayani Sehgal</t>
        </is>
      </c>
      <c r="C13" t="inlineStr">
        <is>
          <t>jayani.s@osmosys.co</t>
        </is>
      </c>
      <c r="D13" t="inlineStr">
        <is>
          <t>pinestem</t>
        </is>
      </c>
      <c r="E13">
        <f>HYPERLINK("http://gitlab.osmosys.co/pinestem/pinestem-portal", "PineStemPortal")</f>
        <v/>
      </c>
      <c r="F13">
        <f>HYPERLINK("http://gitlab.osmosys.co/pinestem/pinestem-portal/-/merge_requests/4853", "Fix: Force xmlhttprequest-ssl@1.6.2 to patch critical code injection and cert...")</f>
        <v/>
      </c>
      <c r="G13" t="inlineStr">
        <is>
          <t>fix/xml2js-prototype-pollution</t>
        </is>
      </c>
      <c r="H13" t="inlineStr">
        <is>
          <t>master</t>
        </is>
      </c>
      <c r="I13" t="inlineStr">
        <is>
          <t>opened</t>
        </is>
      </c>
      <c r="J13" t="inlineStr"/>
      <c r="K13" t="inlineStr"/>
      <c r="L13" t="inlineStr"/>
      <c r="M13" t="inlineStr"/>
      <c r="N13" t="inlineStr"/>
      <c r="O13" t="inlineStr"/>
      <c r="P13" t="inlineStr"/>
      <c r="Q13" t="inlineStr"/>
    </row>
    <row r="14">
      <c r="A14" t="inlineStr">
        <is>
          <t>jayani.s</t>
        </is>
      </c>
      <c r="B14" t="inlineStr">
        <is>
          <t>Jayani Sehgal</t>
        </is>
      </c>
      <c r="C14" t="inlineStr">
        <is>
          <t>jayani.s@osmosys.co</t>
        </is>
      </c>
      <c r="D14" t="inlineStr">
        <is>
          <t>pinestem</t>
        </is>
      </c>
      <c r="E14">
        <f>HYPERLINK("http://gitlab.osmosys.co/pinestem/pinestem-portal", "PineStemPortal")</f>
        <v/>
      </c>
      <c r="F14">
        <f>HYPERLINK("http://gitlab.osmosys.co/pinestem/pinestem-portal/-/merge_requests/4852", "Fix: Force xmlhttprequest-ssl@1.6.2 to patch critical code injection and cert...")</f>
        <v/>
      </c>
      <c r="G14" t="inlineStr">
        <is>
          <t>fix/xmlhttprequest-ssl-vulnerability</t>
        </is>
      </c>
      <c r="H14" t="inlineStr">
        <is>
          <t>master</t>
        </is>
      </c>
      <c r="I14" t="inlineStr">
        <is>
          <t>opened</t>
        </is>
      </c>
      <c r="J14" t="inlineStr"/>
      <c r="K14" t="inlineStr"/>
      <c r="L14" t="inlineStr"/>
      <c r="M14" t="inlineStr"/>
      <c r="N14" t="inlineStr"/>
      <c r="O14" t="inlineStr"/>
      <c r="P14" t="inlineStr"/>
      <c r="Q14" t="inlineStr"/>
    </row>
    <row r="15">
      <c r="A15" t="inlineStr">
        <is>
          <t>jayani.s</t>
        </is>
      </c>
      <c r="B15" t="inlineStr">
        <is>
          <t>Jayani Sehgal</t>
        </is>
      </c>
      <c r="C15" t="inlineStr">
        <is>
          <t>jayani.s@osmosys.co</t>
        </is>
      </c>
      <c r="D15" t="inlineStr">
        <is>
          <t>pinestem</t>
        </is>
      </c>
      <c r="E15">
        <f>HYPERLINK("http://gitlab.osmosys.co/pinestem/pinestem-portal", "PineStemPortal")</f>
        <v/>
      </c>
      <c r="F15">
        <f>HYPERLINK("http://gitlab.osmosys.co/pinestem/pinestem-portal/-/merge_requests/4851", "Fix/http cache semantics redos")</f>
        <v/>
      </c>
      <c r="G15" t="inlineStr">
        <is>
          <t>fix/http-cache-semantics-redos</t>
        </is>
      </c>
      <c r="H15" t="inlineStr">
        <is>
          <t>master</t>
        </is>
      </c>
      <c r="I15" t="inlineStr">
        <is>
          <t>opened</t>
        </is>
      </c>
      <c r="J15" t="inlineStr"/>
      <c r="K15" t="inlineStr"/>
      <c r="L15" t="inlineStr"/>
      <c r="M15" t="inlineStr"/>
      <c r="N15" t="inlineStr"/>
      <c r="O15" t="inlineStr"/>
      <c r="P15" t="inlineStr"/>
      <c r="Q15" t="inlineStr"/>
    </row>
    <row r="16">
      <c r="A16" t="inlineStr">
        <is>
          <t>jayani.s</t>
        </is>
      </c>
      <c r="B16" t="inlineStr">
        <is>
          <t>Jayani Sehgal</t>
        </is>
      </c>
      <c r="C16" t="inlineStr">
        <is>
          <t>jayani.s@osmosys.co</t>
        </is>
      </c>
      <c r="D16" t="inlineStr">
        <is>
          <t>pinestem</t>
        </is>
      </c>
      <c r="E16">
        <f>HYPERLINK("http://gitlab.osmosys.co/pinestem/pinestem-portal", "PineStemPortal")</f>
        <v/>
      </c>
      <c r="F16">
        <f>HYPERLINK("http://gitlab.osmosys.co/pinestem/pinestem-portal/-/merge_requests/4848", "Fix/tough cookie vulnerability")</f>
        <v/>
      </c>
      <c r="G16" t="inlineStr">
        <is>
          <t>fix/tough-cookie-vulnerability</t>
        </is>
      </c>
      <c r="H16" t="inlineStr">
        <is>
          <t>master</t>
        </is>
      </c>
      <c r="I16" t="inlineStr">
        <is>
          <t>opened</t>
        </is>
      </c>
      <c r="J16" t="inlineStr"/>
      <c r="K16" t="inlineStr"/>
      <c r="L16" t="inlineStr"/>
      <c r="M16" t="inlineStr"/>
      <c r="N16" t="inlineStr"/>
      <c r="O16" t="inlineStr"/>
      <c r="P16" t="inlineStr"/>
      <c r="Q16" t="inlineStr"/>
    </row>
    <row r="17">
      <c r="A17" t="inlineStr">
        <is>
          <t>jyoti.s</t>
        </is>
      </c>
      <c r="B17" t="inlineStr">
        <is>
          <t>Jyoti Singh</t>
        </is>
      </c>
      <c r="C17" t="inlineStr">
        <is>
          <t>jyoti.s@osmosys.co</t>
        </is>
      </c>
      <c r="D17" t="inlineStr">
        <is>
          <t>pinestem</t>
        </is>
      </c>
      <c r="E17">
        <f>HYPERLINK("http://gitlab.osmosys.co/pinestem/pinestem-portal", "PineStemPortal")</f>
        <v/>
      </c>
      <c r="F17">
        <f>HYPERLINK("http://gitlab.osmosys.co/pinestem/pinestem-portal/-/merge_requests/4864", "feat: adding sprint name in task detail")</f>
        <v/>
      </c>
      <c r="G17" t="inlineStr">
        <is>
          <t>feature/adding-sprint</t>
        </is>
      </c>
      <c r="H17" t="inlineStr">
        <is>
          <t>Sprint-56</t>
        </is>
      </c>
      <c r="I17" t="inlineStr">
        <is>
          <t>merged</t>
        </is>
      </c>
      <c r="J17" t="inlineStr"/>
      <c r="K17" t="inlineStr"/>
      <c r="L17" t="inlineStr"/>
      <c r="M17" t="inlineStr"/>
      <c r="N17" t="inlineStr"/>
      <c r="O17" t="inlineStr"/>
      <c r="P17" t="inlineStr"/>
      <c r="Q17" t="inlineStr"/>
    </row>
    <row r="18">
      <c r="A18" t="inlineStr">
        <is>
          <t>jyoti.s</t>
        </is>
      </c>
      <c r="B18" t="inlineStr">
        <is>
          <t>Jyoti Singh</t>
        </is>
      </c>
      <c r="C18" t="inlineStr">
        <is>
          <t>jyoti.s@osmosys.co</t>
        </is>
      </c>
      <c r="D18" t="inlineStr">
        <is>
          <t>pinestem</t>
        </is>
      </c>
      <c r="E18">
        <f>HYPERLINK("http://gitlab.osmosys.co/pinestem/pinestem-portal", "PineStemPortal")</f>
        <v/>
      </c>
      <c r="F18">
        <f>HYPERLINK("http://gitlab.osmosys.co/pinestem/pinestem-portal/-/merge_requests/4860", "feat: Added the sprint name in task detail")</f>
        <v/>
      </c>
      <c r="G18" t="inlineStr">
        <is>
          <t>feature/adding-sprint</t>
        </is>
      </c>
      <c r="H18" t="inlineStr">
        <is>
          <t>Sprint-56</t>
        </is>
      </c>
      <c r="I18" t="inlineStr">
        <is>
          <t>merged</t>
        </is>
      </c>
      <c r="J18" t="inlineStr">
        <is>
          <t>e8ae68ff150af03fb5d3c1244e146e240f004dbc</t>
        </is>
      </c>
      <c r="K18">
        <f>HYPERLINK("http://gitlab.osmosys.co/pinestem/pinestem-portal/-/merge_requests/4860#note_233564", "![Screenshot_2025-07-09_144021](/uploads/cf41b4c03f58d547a5cf53eb78a281b2/Screenshot_2025-07-09_144021.png)")</f>
        <v/>
      </c>
      <c r="L18" t="inlineStr">
        <is>
          <t>2025-07-09 14:40:29.228 IST</t>
        </is>
      </c>
      <c r="M18" t="inlineStr">
        <is>
          <t>Jyoti Singh</t>
        </is>
      </c>
      <c r="N18" t="inlineStr">
        <is>
          <t>No</t>
        </is>
      </c>
      <c r="O18" t="inlineStr">
        <is>
          <t>No</t>
        </is>
      </c>
      <c r="P18" t="inlineStr"/>
      <c r="Q18" t="inlineStr">
        <is>
          <t>Neutral</t>
        </is>
      </c>
    </row>
    <row r="19">
      <c r="A19" t="inlineStr">
        <is>
          <t>jyoti.s</t>
        </is>
      </c>
      <c r="B19" t="inlineStr">
        <is>
          <t>Jyoti Singh</t>
        </is>
      </c>
      <c r="C19" t="inlineStr">
        <is>
          <t>jyoti.s@osmosys.co</t>
        </is>
      </c>
      <c r="D19" t="inlineStr">
        <is>
          <t>pinestem</t>
        </is>
      </c>
      <c r="E19">
        <f>HYPERLINK("http://gitlab.osmosys.co/pinestem/pinestem-portal", "PineStemPortal")</f>
        <v/>
      </c>
      <c r="F19">
        <f>HYPERLINK("http://gitlab.osmosys.co/pinestem/pinestem-portal/-/merge_requests/4850", "fix: Fix vulnerability of useragent package")</f>
        <v/>
      </c>
      <c r="G19" t="inlineStr">
        <is>
          <t>fix/useragent-vulnerability</t>
        </is>
      </c>
      <c r="H19" t="inlineStr">
        <is>
          <t>Sprint-56</t>
        </is>
      </c>
      <c r="I19" t="inlineStr">
        <is>
          <t>opened</t>
        </is>
      </c>
      <c r="J19" t="inlineStr"/>
      <c r="K19" t="inlineStr"/>
      <c r="L19" t="inlineStr"/>
      <c r="M19" t="inlineStr"/>
      <c r="N19" t="inlineStr"/>
      <c r="O19" t="inlineStr"/>
      <c r="P19" t="inlineStr"/>
      <c r="Q19" t="inlineStr"/>
    </row>
    <row r="20">
      <c r="A20" t="inlineStr">
        <is>
          <t>jyoti.s</t>
        </is>
      </c>
      <c r="B20" t="inlineStr">
        <is>
          <t>Jyoti Singh</t>
        </is>
      </c>
      <c r="C20" t="inlineStr">
        <is>
          <t>jyoti.s@osmosys.co</t>
        </is>
      </c>
      <c r="D20" t="inlineStr">
        <is>
          <t>pinestem</t>
        </is>
      </c>
      <c r="E20">
        <f>HYPERLINK("http://gitlab.osmosys.co/pinestem/pinestem-portal", "PineStemPortal")</f>
        <v/>
      </c>
      <c r="F20">
        <f>HYPERLINK("http://gitlab.osmosys.co/pinestem/pinestem-portal/-/merge_requests/4849", "fix: Fix vulnerability of body-parser package")</f>
        <v/>
      </c>
      <c r="G20" t="inlineStr">
        <is>
          <t>fix/body-parser-vulnerability</t>
        </is>
      </c>
      <c r="H20" t="inlineStr">
        <is>
          <t>Sprint-56</t>
        </is>
      </c>
      <c r="I20" t="inlineStr">
        <is>
          <t>opened</t>
        </is>
      </c>
      <c r="J20" t="inlineStr"/>
      <c r="K20" t="inlineStr"/>
      <c r="L20" t="inlineStr"/>
      <c r="M20" t="inlineStr"/>
      <c r="N20" t="inlineStr"/>
      <c r="O20" t="inlineStr"/>
      <c r="P20" t="inlineStr"/>
      <c r="Q20" t="inlineStr"/>
    </row>
    <row r="21">
      <c r="A21" t="inlineStr">
        <is>
          <t>jyoti.s</t>
        </is>
      </c>
      <c r="B21" t="inlineStr">
        <is>
          <t>Jyoti Singh</t>
        </is>
      </c>
      <c r="C21" t="inlineStr">
        <is>
          <t>jyoti.s@osmosys.co</t>
        </is>
      </c>
      <c r="D21" t="inlineStr">
        <is>
          <t>pinestem</t>
        </is>
      </c>
      <c r="E21">
        <f>HYPERLINK("http://gitlab.osmosys.co/pinestem/pinestem-portal", "PineStemPortal")</f>
        <v/>
      </c>
      <c r="F21">
        <f>HYPERLINK("http://gitlab.osmosys.co/pinestem/pinestem-portal/-/merge_requests/4847", "fix: Fix vulnerability of underscore.string package")</f>
        <v/>
      </c>
      <c r="G21" t="inlineStr">
        <is>
          <t>fix/underscore.string-vulnerability</t>
        </is>
      </c>
      <c r="H21" t="inlineStr">
        <is>
          <t>Sprint-56</t>
        </is>
      </c>
      <c r="I21" t="inlineStr">
        <is>
          <t>opened</t>
        </is>
      </c>
      <c r="J21" t="inlineStr"/>
      <c r="K21" t="inlineStr"/>
      <c r="L21" t="inlineStr"/>
      <c r="M21" t="inlineStr"/>
      <c r="N21" t="inlineStr"/>
      <c r="O21" t="inlineStr"/>
      <c r="P21" t="inlineStr"/>
      <c r="Q21" t="inlineStr"/>
    </row>
    <row r="22">
      <c r="A22" t="inlineStr">
        <is>
          <t>jyoti.s</t>
        </is>
      </c>
      <c r="B22" t="inlineStr">
        <is>
          <t>Jyoti Singh</t>
        </is>
      </c>
      <c r="C22" t="inlineStr">
        <is>
          <t>jyoti.s@osmosys.co</t>
        </is>
      </c>
      <c r="D22" t="inlineStr">
        <is>
          <t>pinestem</t>
        </is>
      </c>
      <c r="E22">
        <f>HYPERLINK("http://gitlab.osmosys.co/pinestem/pinestem-portal", "PineStemPortal")</f>
        <v/>
      </c>
      <c r="F22">
        <f>HYPERLINK("http://gitlab.osmosys.co/pinestem/pinestem-portal/-/merge_requests/4846", "fix: Fix  vulnerability of ecstatic package")</f>
        <v/>
      </c>
      <c r="G22" t="inlineStr">
        <is>
          <t>fix/ecstatic-vulnerability</t>
        </is>
      </c>
      <c r="H22" t="inlineStr">
        <is>
          <t>Sprint-56</t>
        </is>
      </c>
      <c r="I22" t="inlineStr">
        <is>
          <t>opened</t>
        </is>
      </c>
      <c r="J22" t="inlineStr"/>
      <c r="K22" t="inlineStr"/>
      <c r="L22" t="inlineStr"/>
      <c r="M22" t="inlineStr"/>
      <c r="N22" t="inlineStr"/>
      <c r="O22" t="inlineStr"/>
      <c r="P22" t="inlineStr"/>
      <c r="Q22" t="inlineStr"/>
    </row>
    <row r="23">
      <c r="A23" t="inlineStr">
        <is>
          <t>jyoti.s</t>
        </is>
      </c>
      <c r="B23" t="inlineStr">
        <is>
          <t>Jyoti Singh</t>
        </is>
      </c>
      <c r="C23" t="inlineStr">
        <is>
          <t>jyoti.s@osmosys.co</t>
        </is>
      </c>
      <c r="D23" t="inlineStr">
        <is>
          <t>pinestem</t>
        </is>
      </c>
      <c r="E23">
        <f>HYPERLINK("http://gitlab.osmosys.co/pinestem/pinestem-portal", "PineStemPortal")</f>
        <v/>
      </c>
      <c r="F23">
        <f>HYPERLINK("http://gitlab.osmosys.co/pinestem/pinestem-portal/-/merge_requests/4845", "fix: Fix vulnerability of tunnel-agent package")</f>
        <v/>
      </c>
      <c r="G23" t="inlineStr">
        <is>
          <t>fix/tunnel-agent-vulnerability</t>
        </is>
      </c>
      <c r="H23" t="inlineStr">
        <is>
          <t>Sprint-56</t>
        </is>
      </c>
      <c r="I23" t="inlineStr">
        <is>
          <t>opened</t>
        </is>
      </c>
      <c r="J23" t="inlineStr"/>
      <c r="K23" t="inlineStr"/>
      <c r="L23" t="inlineStr"/>
      <c r="M23" t="inlineStr"/>
      <c r="N23" t="inlineStr"/>
      <c r="O23" t="inlineStr"/>
      <c r="P23" t="inlineStr"/>
      <c r="Q23" t="inlineStr"/>
    </row>
    <row r="24">
      <c r="A24" t="inlineStr">
        <is>
          <t>jyoti.s</t>
        </is>
      </c>
      <c r="B24" t="inlineStr">
        <is>
          <t>Jyoti Singh</t>
        </is>
      </c>
      <c r="C24" t="inlineStr">
        <is>
          <t>jyoti.s@osmosys.co</t>
        </is>
      </c>
      <c r="D24" t="inlineStr">
        <is>
          <t>pinestem</t>
        </is>
      </c>
      <c r="E24">
        <f>HYPERLINK("http://gitlab.osmosys.co/pinestem/pinestem-portal", "PineStemPortal")</f>
        <v/>
      </c>
      <c r="F24">
        <f>HYPERLINK("http://gitlab.osmosys.co/pinestem/pinestem-portal/-/merge_requests/4844", "fix: Fix vulnerability of  follow-redirects package")</f>
        <v/>
      </c>
      <c r="G24" t="inlineStr">
        <is>
          <t>fix/follow-redirects-vulnerability</t>
        </is>
      </c>
      <c r="H24" t="inlineStr">
        <is>
          <t>Sprint-56</t>
        </is>
      </c>
      <c r="I24" t="inlineStr">
        <is>
          <t>opened</t>
        </is>
      </c>
      <c r="J24" t="inlineStr"/>
      <c r="K24" t="inlineStr"/>
      <c r="L24" t="inlineStr"/>
      <c r="M24" t="inlineStr"/>
      <c r="N24" t="inlineStr"/>
      <c r="O24" t="inlineStr"/>
      <c r="P24" t="inlineStr"/>
      <c r="Q24" t="inlineStr"/>
    </row>
    <row r="25">
      <c r="A25" t="inlineStr">
        <is>
          <t>jyoti.s</t>
        </is>
      </c>
      <c r="B25" t="inlineStr">
        <is>
          <t>Jyoti Singh</t>
        </is>
      </c>
      <c r="C25" t="inlineStr">
        <is>
          <t>jyoti.s@osmosys.co</t>
        </is>
      </c>
      <c r="D25" t="inlineStr">
        <is>
          <t>pinestem</t>
        </is>
      </c>
      <c r="E25">
        <f>HYPERLINK("http://gitlab.osmosys.co/pinestem/pinestem-portal", "PineStemPortal")</f>
        <v/>
      </c>
      <c r="F25">
        <f>HYPERLINK("http://gitlab.osmosys.co/pinestem/pinestem-portal/-/merge_requests/4843", "fix: Fix vulnerability of cross-spawn package")</f>
        <v/>
      </c>
      <c r="G25" t="inlineStr">
        <is>
          <t>fix/cross-spawn-vulnerability</t>
        </is>
      </c>
      <c r="H25" t="inlineStr">
        <is>
          <t>Sprint-56</t>
        </is>
      </c>
      <c r="I25" t="inlineStr">
        <is>
          <t>opened</t>
        </is>
      </c>
      <c r="J25" t="inlineStr"/>
      <c r="K25" t="inlineStr"/>
      <c r="L25" t="inlineStr"/>
      <c r="M25" t="inlineStr"/>
      <c r="N25" t="inlineStr"/>
      <c r="O25" t="inlineStr"/>
      <c r="P25" t="inlineStr"/>
      <c r="Q25" t="inlineStr"/>
    </row>
    <row r="26">
      <c r="A26" t="inlineStr">
        <is>
          <t>jyoti.s</t>
        </is>
      </c>
      <c r="B26" t="inlineStr">
        <is>
          <t>Jyoti Singh</t>
        </is>
      </c>
      <c r="C26" t="inlineStr">
        <is>
          <t>jyoti.s@osmosys.co</t>
        </is>
      </c>
      <c r="D26" t="inlineStr">
        <is>
          <t>pinestem</t>
        </is>
      </c>
      <c r="E26">
        <f>HYPERLINK("http://gitlab.osmosys.co/pinestem/pinestem-portal", "PineStemPortal")</f>
        <v/>
      </c>
      <c r="F26">
        <f>HYPERLINK("http://gitlab.osmosys.co/pinestem/pinestem-portal/-/merge_requests/4838", "fix: Fix vulnerability of semver package")</f>
        <v/>
      </c>
      <c r="G26" t="inlineStr">
        <is>
          <t>fix/semver-vulnerability</t>
        </is>
      </c>
      <c r="H26" t="inlineStr">
        <is>
          <t>Sprint-56</t>
        </is>
      </c>
      <c r="I26" t="inlineStr">
        <is>
          <t>opened</t>
        </is>
      </c>
      <c r="J26" t="inlineStr"/>
      <c r="K26" t="inlineStr"/>
      <c r="L26" t="inlineStr"/>
      <c r="M26" t="inlineStr"/>
      <c r="N26" t="inlineStr"/>
      <c r="O26" t="inlineStr"/>
      <c r="P26" t="inlineStr"/>
      <c r="Q26" t="inlineStr"/>
    </row>
    <row r="27">
      <c r="A27" t="inlineStr">
        <is>
          <t>jyoti.s</t>
        </is>
      </c>
      <c r="B27" t="inlineStr">
        <is>
          <t>Jyoti Singh</t>
        </is>
      </c>
      <c r="C27" t="inlineStr">
        <is>
          <t>jyoti.s@osmosys.co</t>
        </is>
      </c>
      <c r="D27" t="inlineStr">
        <is>
          <t>pinestem</t>
        </is>
      </c>
      <c r="E27">
        <f>HYPERLINK("http://gitlab.osmosys.co/pinestem/pinestem-portal", "PineStemPortal")</f>
        <v/>
      </c>
      <c r="F27">
        <f>HYPERLINK("http://gitlab.osmosys.co/pinestem/pinestem-portal/-/merge_requests/4837", "fix:  update vulnerable log4js version")</f>
        <v/>
      </c>
      <c r="G27" t="inlineStr">
        <is>
          <t>fix/log4js-vulnerability</t>
        </is>
      </c>
      <c r="H27" t="inlineStr">
        <is>
          <t>Sprint-56</t>
        </is>
      </c>
      <c r="I27" t="inlineStr">
        <is>
          <t>opened</t>
        </is>
      </c>
      <c r="J27" t="inlineStr"/>
      <c r="K27" t="inlineStr"/>
      <c r="L27" t="inlineStr"/>
      <c r="M27" t="inlineStr"/>
      <c r="N27" t="inlineStr"/>
      <c r="O27" t="inlineStr"/>
      <c r="P27" t="inlineStr"/>
      <c r="Q27" t="inlineStr"/>
    </row>
    <row r="28">
      <c r="A28" t="inlineStr">
        <is>
          <t>paras.j</t>
        </is>
      </c>
      <c r="B28" t="inlineStr">
        <is>
          <t>Paras Joshi</t>
        </is>
      </c>
      <c r="C28" t="inlineStr">
        <is>
          <t>paras.j@osmosys.co</t>
        </is>
      </c>
      <c r="D28" t="inlineStr">
        <is>
          <t>incident-reporter</t>
        </is>
      </c>
      <c r="E28">
        <f>HYPERLINK("http://gitlab.osmosys.co/incident-reporter/incident-reporter-api", "OQSHA-API")</f>
        <v/>
      </c>
      <c r="F28">
        <f>HYPERLINK("http://gitlab.osmosys.co/incident-reporter/incident-reporter-api/-/merge_requests/4028", "fix: add description validation for empty whatsapp notifications")</f>
        <v/>
      </c>
      <c r="G28" t="inlineStr">
        <is>
          <t>feat/commit-pr</t>
        </is>
      </c>
      <c r="H28" t="inlineStr">
        <is>
          <t>sprint-17</t>
        </is>
      </c>
      <c r="I28" t="inlineStr">
        <is>
          <t>opened</t>
        </is>
      </c>
      <c r="J28" t="inlineStr"/>
      <c r="K28" t="inlineStr"/>
      <c r="L28" t="inlineStr"/>
      <c r="M28" t="inlineStr"/>
      <c r="N28" t="inlineStr"/>
      <c r="O28" t="inlineStr"/>
      <c r="P28" t="inlineStr"/>
      <c r="Q28" t="inlineStr"/>
    </row>
    <row r="29">
      <c r="A29" t="inlineStr">
        <is>
          <t>anshul.r</t>
        </is>
      </c>
      <c r="B29" t="inlineStr">
        <is>
          <t>Anshul Raturi</t>
        </is>
      </c>
      <c r="C29" t="inlineStr">
        <is>
          <t>anshul.r@osmosys.co</t>
        </is>
      </c>
      <c r="D29" t="inlineStr">
        <is>
          <t>incident-reporter</t>
        </is>
      </c>
      <c r="E29">
        <f>HYPERLINK("http://gitlab.osmosys.co/incident-reporter/incident-reporter-api", "OQSHA-API")</f>
        <v/>
      </c>
      <c r="F29">
        <f>HYPERLINK("http://gitlab.osmosys.co/incident-reporter/incident-reporter-api/-/merge_requests/4031", "feat: create get task status api for")</f>
        <v/>
      </c>
      <c r="G29" t="inlineStr">
        <is>
          <t>feat/get-task-status</t>
        </is>
      </c>
      <c r="H29" t="inlineStr">
        <is>
          <t>sprint-17</t>
        </is>
      </c>
      <c r="I29" t="inlineStr">
        <is>
          <t>opened</t>
        </is>
      </c>
      <c r="J29" t="inlineStr"/>
      <c r="K29" t="inlineStr"/>
      <c r="L29" t="inlineStr"/>
      <c r="M29" t="inlineStr"/>
      <c r="N29" t="inlineStr"/>
      <c r="O29" t="inlineStr"/>
      <c r="P29" t="inlineStr"/>
      <c r="Q29" t="inlineStr"/>
    </row>
    <row r="30">
      <c r="A30" t="inlineStr">
        <is>
          <t>anshul.r</t>
        </is>
      </c>
      <c r="B30" t="inlineStr">
        <is>
          <t>Anshul Raturi</t>
        </is>
      </c>
      <c r="C30" t="inlineStr">
        <is>
          <t>anshul.r@osmosys.co</t>
        </is>
      </c>
      <c r="D30" t="inlineStr">
        <is>
          <t>incident-reporter</t>
        </is>
      </c>
      <c r="E30">
        <f>HYPERLINK("http://gitlab.osmosys.co/incident-reporter/incident-reporter-api", "OQSHA-API")</f>
        <v/>
      </c>
      <c r="F30">
        <f>HYPERLINK("http://gitlab.osmosys.co/incident-reporter/incident-reporter-api/-/merge_requests/4025", "feat:converted get api to post")</f>
        <v/>
      </c>
      <c r="G30" t="inlineStr">
        <is>
          <t>feat/task-create-api</t>
        </is>
      </c>
      <c r="H30" t="inlineStr">
        <is>
          <t>main</t>
        </is>
      </c>
      <c r="I30" t="inlineStr">
        <is>
          <t>closed</t>
        </is>
      </c>
      <c r="J30" t="inlineStr"/>
      <c r="K30" t="inlineStr"/>
      <c r="L30" t="inlineStr"/>
      <c r="M30" t="inlineStr"/>
      <c r="N30" t="inlineStr"/>
      <c r="O30" t="inlineStr"/>
      <c r="P30" t="inlineStr"/>
      <c r="Q30" t="inlineStr"/>
    </row>
    <row r="31">
      <c r="A31" t="inlineStr">
        <is>
          <t>pritish.t</t>
        </is>
      </c>
      <c r="B31" t="inlineStr">
        <is>
          <t>Pritish Tomar</t>
        </is>
      </c>
      <c r="C31" t="inlineStr">
        <is>
          <t>pritish.t@osmosys.co</t>
        </is>
      </c>
      <c r="D31" t="inlineStr">
        <is>
          <t>pritish.t</t>
        </is>
      </c>
      <c r="E31">
        <f>HYPERLINK("http://gitlab.osmosys.co/pritish.t/pinestemforsonartest", "PinestemForSonarTest")</f>
        <v/>
      </c>
      <c r="F31">
        <f>HYPERLINK("http://gitlab.osmosys.co/pritish.t/pinestemforsonartest/-/merge_requests/3", "feat: set git-ignore")</f>
        <v/>
      </c>
      <c r="G31" t="inlineStr">
        <is>
          <t>feat/test-sonarqube-MR-analysis</t>
        </is>
      </c>
      <c r="H31" t="inlineStr">
        <is>
          <t>main</t>
        </is>
      </c>
      <c r="I31" t="inlineStr">
        <is>
          <t>opened</t>
        </is>
      </c>
      <c r="J31" t="inlineStr"/>
      <c r="K31" t="inlineStr"/>
      <c r="L31" t="inlineStr"/>
      <c r="M31" t="inlineStr"/>
      <c r="N31" t="inlineStr"/>
      <c r="O31" t="inlineStr"/>
      <c r="P31" t="inlineStr"/>
      <c r="Q31" t="inlineStr"/>
    </row>
    <row r="32">
      <c r="A32" t="inlineStr">
        <is>
          <t>pritish.t</t>
        </is>
      </c>
      <c r="B32" t="inlineStr">
        <is>
          <t>Pritish Tomar</t>
        </is>
      </c>
      <c r="C32" t="inlineStr">
        <is>
          <t>pritish.t@osmosys.co</t>
        </is>
      </c>
      <c r="D32" t="inlineStr">
        <is>
          <t>pritish.t</t>
        </is>
      </c>
      <c r="E32">
        <f>HYPERLINK("http://gitlab.osmosys.co/pritish.t/pinestemforsonartest", "PinestemForSonarTest")</f>
        <v/>
      </c>
      <c r="F32">
        <f>HYPERLINK("http://gitlab.osmosys.co/pritish.t/pinestemforsonartest/-/merge_requests/2", "chore: fix comments")</f>
        <v/>
      </c>
      <c r="G32" t="inlineStr">
        <is>
          <t>test/sonar</t>
        </is>
      </c>
      <c r="H32" t="inlineStr">
        <is>
          <t>main</t>
        </is>
      </c>
      <c r="I32" t="inlineStr">
        <is>
          <t>closed</t>
        </is>
      </c>
      <c r="J32" t="inlineStr"/>
      <c r="K32" t="inlineStr"/>
      <c r="L32" t="inlineStr"/>
      <c r="M32" t="inlineStr"/>
      <c r="N32" t="inlineStr"/>
      <c r="O32" t="inlineStr"/>
      <c r="P32" t="inlineStr"/>
      <c r="Q32" t="inlineStr"/>
    </row>
    <row r="33">
      <c r="A33" t="inlineStr">
        <is>
          <t>pritish.t</t>
        </is>
      </c>
      <c r="B33" t="inlineStr">
        <is>
          <t>Pritish Tomar</t>
        </is>
      </c>
      <c r="C33" t="inlineStr">
        <is>
          <t>pritish.t@osmosys.co</t>
        </is>
      </c>
      <c r="D33" t="inlineStr">
        <is>
          <t>pritish.t</t>
        </is>
      </c>
      <c r="E33">
        <f>HYPERLINK("http://gitlab.osmosys.co/pritish.t/pinestemforsonartest", "PinestemForSonarTest")</f>
        <v/>
      </c>
      <c r="F33">
        <f>HYPERLINK("http://gitlab.osmosys.co/pritish.t/pinestemforsonartest/-/merge_requests/1", "chore: comment a unused line")</f>
        <v/>
      </c>
      <c r="G33" t="inlineStr">
        <is>
          <t>test/sonarqube</t>
        </is>
      </c>
      <c r="H33" t="inlineStr">
        <is>
          <t>main</t>
        </is>
      </c>
      <c r="I33" t="inlineStr">
        <is>
          <t>closed</t>
        </is>
      </c>
      <c r="J33" t="inlineStr"/>
      <c r="K33" t="inlineStr"/>
      <c r="L33" t="inlineStr"/>
      <c r="M33" t="inlineStr"/>
      <c r="N33" t="inlineStr"/>
      <c r="O33" t="inlineStr"/>
      <c r="P33" t="inlineStr"/>
      <c r="Q33" t="inlineStr"/>
    </row>
    <row r="34">
      <c r="A34" t="inlineStr">
        <is>
          <t>pritish.t</t>
        </is>
      </c>
      <c r="B34" t="inlineStr">
        <is>
          <t>Pritish Tomar</t>
        </is>
      </c>
      <c r="C34" t="inlineStr">
        <is>
          <t>pritish.t@osmosys.co</t>
        </is>
      </c>
      <c r="D34" t="inlineStr">
        <is>
          <t>pritish.t</t>
        </is>
      </c>
      <c r="E34">
        <f>HYPERLINK("http://gitlab.osmosys.co/pritish.t/sonarqubetestdotnet8", "SonarQubeTestDotnet8")</f>
        <v/>
      </c>
      <c r="F34">
        <f>HYPERLINK("http://gitlab.osmosys.co/pritish.t/sonarqubetestdotnet8/-/merge_requests/1", "chore: add a test comment")</f>
        <v/>
      </c>
      <c r="G34" t="inlineStr">
        <is>
          <t>feat/test-for-sonar-pr</t>
        </is>
      </c>
      <c r="H34" t="inlineStr">
        <is>
          <t>main</t>
        </is>
      </c>
      <c r="I34" t="inlineStr">
        <is>
          <t>opened</t>
        </is>
      </c>
      <c r="J34" t="inlineStr"/>
      <c r="K34" t="inlineStr"/>
      <c r="L34" t="inlineStr"/>
      <c r="M34" t="inlineStr"/>
      <c r="N34" t="inlineStr"/>
      <c r="O34" t="inlineStr"/>
      <c r="P34" t="inlineStr"/>
      <c r="Q34" t="inlineStr"/>
    </row>
    <row r="35">
      <c r="A35" t="inlineStr">
        <is>
          <t>ankit.s</t>
        </is>
      </c>
      <c r="B35" t="inlineStr">
        <is>
          <t>Ankit Singh</t>
        </is>
      </c>
      <c r="C35" t="inlineStr">
        <is>
          <t>ankit.s@osmosys.co</t>
        </is>
      </c>
      <c r="D35" t="inlineStr">
        <is>
          <t>incident-reporter</t>
        </is>
      </c>
      <c r="E35">
        <f>HYPERLINK("http://gitlab.osmosys.co/incident-reporter/incident-reporter-angular-portal", "OQSHA Portal")</f>
        <v/>
      </c>
      <c r="F35">
        <f>HYPERLINK("http://gitlab.osmosys.co/incident-reporter/incident-reporter-angular-portal/-/merge_requests/3414", "fix: fix hira filter functionality")</f>
        <v/>
      </c>
      <c r="G35" t="inlineStr">
        <is>
          <t>fix/hira-filter</t>
        </is>
      </c>
      <c r="H35" t="inlineStr">
        <is>
          <t>sprint-17</t>
        </is>
      </c>
      <c r="I35" t="inlineStr">
        <is>
          <t>merged</t>
        </is>
      </c>
      <c r="J35" t="inlineStr"/>
      <c r="K35" t="inlineStr"/>
      <c r="L35" t="inlineStr"/>
      <c r="M35" t="inlineStr"/>
      <c r="N35" t="inlineStr"/>
      <c r="O35" t="inlineStr"/>
      <c r="P35" t="inlineStr"/>
      <c r="Q35" t="inlineStr"/>
    </row>
    <row r="36">
      <c r="A36" t="inlineStr">
        <is>
          <t>ankit.s</t>
        </is>
      </c>
      <c r="B36" t="inlineStr">
        <is>
          <t>Ankit Singh</t>
        </is>
      </c>
      <c r="C36" t="inlineStr">
        <is>
          <t>ankit.s@osmosys.co</t>
        </is>
      </c>
      <c r="D36" t="inlineStr">
        <is>
          <t>talking-buddy</t>
        </is>
      </c>
      <c r="E36">
        <f>HYPERLINK("http://gitlab.osmosys.co/talking-buddy/app", "app")</f>
        <v/>
      </c>
      <c r="F36">
        <f>HYPERLINK("http://gitlab.osmosys.co/talking-buddy/app/-/merge_requests/382", "fix: fix talking buddy detail")</f>
        <v/>
      </c>
      <c r="G36" t="inlineStr">
        <is>
          <t>update/update-talking-buddy-detail</t>
        </is>
      </c>
      <c r="H36" t="inlineStr">
        <is>
          <t>dev</t>
        </is>
      </c>
      <c r="I36" t="inlineStr">
        <is>
          <t>merged</t>
        </is>
      </c>
      <c r="J36" t="inlineStr"/>
      <c r="K36" t="inlineStr"/>
      <c r="L36" t="inlineStr"/>
      <c r="M36" t="inlineStr"/>
      <c r="N36" t="inlineStr"/>
      <c r="O36" t="inlineStr"/>
      <c r="P36" t="inlineStr"/>
      <c r="Q36" t="inlineStr"/>
    </row>
    <row r="37">
      <c r="A37" t="inlineStr">
        <is>
          <t>ankit.s</t>
        </is>
      </c>
      <c r="B37" t="inlineStr">
        <is>
          <t>Ankit Singh</t>
        </is>
      </c>
      <c r="C37" t="inlineStr">
        <is>
          <t>ankit.s@osmosys.co</t>
        </is>
      </c>
      <c r="D37" t="inlineStr">
        <is>
          <t>talking-buddy</t>
        </is>
      </c>
      <c r="E37">
        <f>HYPERLINK("http://gitlab.osmosys.co/talking-buddy/app", "app")</f>
        <v/>
      </c>
      <c r="F37">
        <f>HYPERLINK("http://gitlab.osmosys.co/talking-buddy/app/-/merge_requests/380", "update: update talking buddy detail screen design")</f>
        <v/>
      </c>
      <c r="G37" t="inlineStr">
        <is>
          <t>update/update-talking-buddy-detail</t>
        </is>
      </c>
      <c r="H37" t="inlineStr">
        <is>
          <t>dev</t>
        </is>
      </c>
      <c r="I37" t="inlineStr">
        <is>
          <t>merged</t>
        </is>
      </c>
      <c r="J37" t="inlineStr"/>
      <c r="K37" t="inlineStr"/>
      <c r="L37" t="inlineStr"/>
      <c r="M37" t="inlineStr"/>
      <c r="N37" t="inlineStr"/>
      <c r="O37" t="inlineStr"/>
      <c r="P37" t="inlineStr"/>
      <c r="Q37" t="inlineStr"/>
    </row>
    <row r="38">
      <c r="A38" t="inlineStr">
        <is>
          <t>ankit.s</t>
        </is>
      </c>
      <c r="B38" t="inlineStr">
        <is>
          <t>Ankit Singh</t>
        </is>
      </c>
      <c r="C38" t="inlineStr">
        <is>
          <t>ankit.s@osmosys.co</t>
        </is>
      </c>
      <c r="D38" t="inlineStr">
        <is>
          <t>talking-buddy</t>
        </is>
      </c>
      <c r="E38">
        <f>HYPERLINK("http://gitlab.osmosys.co/talking-buddy/app", "app")</f>
        <v/>
      </c>
      <c r="F38">
        <f>HYPERLINK("http://gitlab.osmosys.co/talking-buddy/app/-/merge_requests/379", "update: update font to Apercu throughout the app")</f>
        <v/>
      </c>
      <c r="G38" t="inlineStr">
        <is>
          <t>update/update-app-font</t>
        </is>
      </c>
      <c r="H38" t="inlineStr">
        <is>
          <t>dev</t>
        </is>
      </c>
      <c r="I38" t="inlineStr">
        <is>
          <t>merged</t>
        </is>
      </c>
      <c r="J38" t="inlineStr"/>
      <c r="K38" t="inlineStr"/>
      <c r="L38" t="inlineStr"/>
      <c r="M38" t="inlineStr"/>
      <c r="N38" t="inlineStr"/>
      <c r="O38" t="inlineStr"/>
      <c r="P38" t="inlineStr"/>
      <c r="Q38" t="inlineStr"/>
    </row>
    <row r="39">
      <c r="A39" t="inlineStr">
        <is>
          <t>ankit.s</t>
        </is>
      </c>
      <c r="B39" t="inlineStr">
        <is>
          <t>Ankit Singh</t>
        </is>
      </c>
      <c r="C39" t="inlineStr">
        <is>
          <t>ankit.s@osmosys.co</t>
        </is>
      </c>
      <c r="D39" t="inlineStr">
        <is>
          <t>talking-buddy</t>
        </is>
      </c>
      <c r="E39">
        <f>HYPERLINK("http://gitlab.osmosys.co/talking-buddy/app", "app")</f>
        <v/>
      </c>
      <c r="F39">
        <f>HYPERLINK("http://gitlab.osmosys.co/talking-buddy/app/-/merge_requests/377", "update: update gradient buttons to FLICKR blue buttons")</f>
        <v/>
      </c>
      <c r="G39" t="inlineStr">
        <is>
          <t>update/update-gradient-buttons</t>
        </is>
      </c>
      <c r="H39" t="inlineStr">
        <is>
          <t>dev</t>
        </is>
      </c>
      <c r="I39" t="inlineStr">
        <is>
          <t>merged</t>
        </is>
      </c>
      <c r="J39" t="inlineStr">
        <is>
          <t>f55e6ee011c6b1b60e60e66b8562eef73baf5e73</t>
        </is>
      </c>
      <c r="K39">
        <f>HYPERLINK("http://gitlab.osmosys.co/talking-buddy/app/-/merge_requests/377#note_243820", "@ankit.s  Kindly avoid bad practice to commit all file change at once in signle commit.&lt;br&gt;
In this pr, you have 7 file changes and they should have 7 commits.&lt;br&gt;
Make a note of it from now onwards")</f>
        <v/>
      </c>
      <c r="L39" t="inlineStr">
        <is>
          <t>2025-07-29 16:02:25.612 IST</t>
        </is>
      </c>
      <c r="M39" t="inlineStr">
        <is>
          <t>Anand Prakash</t>
        </is>
      </c>
      <c r="N39" t="inlineStr">
        <is>
          <t>Yes</t>
        </is>
      </c>
      <c r="O39" t="inlineStr">
        <is>
          <t>No</t>
        </is>
      </c>
      <c r="P39" t="inlineStr"/>
      <c r="Q39" t="inlineStr">
        <is>
          <t>Bad</t>
        </is>
      </c>
    </row>
    <row r="40">
      <c r="A40" t="inlineStr">
        <is>
          <t>ankit.s</t>
        </is>
      </c>
      <c r="B40" t="inlineStr">
        <is>
          <t>Ankit Singh</t>
        </is>
      </c>
      <c r="C40" t="inlineStr">
        <is>
          <t>ankit.s@osmosys.co</t>
        </is>
      </c>
      <c r="D40" t="inlineStr">
        <is>
          <t>talking-buddy</t>
        </is>
      </c>
      <c r="E40">
        <f>HYPERLINK("http://gitlab.osmosys.co/talking-buddy/app", "app")</f>
        <v/>
      </c>
      <c r="F40">
        <f>HYPERLINK("http://gitlab.osmosys.co/talking-buddy/app/-/merge_requests/376", "update: update talking buddy detail")</f>
        <v/>
      </c>
      <c r="G40" t="inlineStr">
        <is>
          <t>feat/update-talking-buddy-detail</t>
        </is>
      </c>
      <c r="H40" t="inlineStr">
        <is>
          <t>dev</t>
        </is>
      </c>
      <c r="I40" t="inlineStr">
        <is>
          <t>closed</t>
        </is>
      </c>
      <c r="J40" t="inlineStr">
        <is>
          <t>e2ba8c00d9ee26ad04bb8034628a40921ec20dcf</t>
        </is>
      </c>
      <c r="K40">
        <f>HYPERLINK("http://gitlab.osmosys.co/talking-buddy/app/-/merge_requests/376#note_241795", "The font weight used for Location should be same as font in language English")</f>
        <v/>
      </c>
      <c r="L40" t="inlineStr">
        <is>
          <t>2025-07-25 13:06:03.382 IST</t>
        </is>
      </c>
      <c r="M40" t="inlineStr">
        <is>
          <t>Anand Prakash</t>
        </is>
      </c>
      <c r="N40" t="inlineStr">
        <is>
          <t>Yes</t>
        </is>
      </c>
      <c r="O40" t="inlineStr">
        <is>
          <t>No</t>
        </is>
      </c>
      <c r="P40" t="inlineStr"/>
      <c r="Q40" t="inlineStr">
        <is>
          <t>Bad</t>
        </is>
      </c>
    </row>
    <row r="41">
      <c r="A41" t="inlineStr">
        <is>
          <t>ankit.s</t>
        </is>
      </c>
      <c r="B41" t="inlineStr">
        <is>
          <t>Ankit Singh</t>
        </is>
      </c>
      <c r="C41" t="inlineStr">
        <is>
          <t>ankit.s@osmosys.co</t>
        </is>
      </c>
      <c r="D41" t="inlineStr">
        <is>
          <t>talking-buddy</t>
        </is>
      </c>
      <c r="E41">
        <f>HYPERLINK("http://gitlab.osmosys.co/talking-buddy/app", "app")</f>
        <v/>
      </c>
      <c r="F41">
        <f>HYPERLINK("http://gitlab.osmosys.co/talking-buddy/app/-/merge_requests/376", "update: update talking buddy detail")</f>
        <v/>
      </c>
      <c r="G41" t="inlineStr">
        <is>
          <t>feat/update-talking-buddy-detail</t>
        </is>
      </c>
      <c r="H41" t="inlineStr">
        <is>
          <t>dev</t>
        </is>
      </c>
      <c r="I41" t="inlineStr">
        <is>
          <t>closed</t>
        </is>
      </c>
      <c r="J41" t="inlineStr">
        <is>
          <t>e2ba8c00d9ee26ad04bb8034628a40921ec20dcf</t>
        </is>
      </c>
      <c r="K41">
        <f>HYPERLINK("http://gitlab.osmosys.co/talking-buddy/app/-/merge_requests/376#note_242692", "Changed the font weight")</f>
        <v/>
      </c>
      <c r="L41" t="inlineStr">
        <is>
          <t>2025-07-28 10:11:50.800 IST</t>
        </is>
      </c>
      <c r="M41" t="inlineStr">
        <is>
          <t>Ankit Singh</t>
        </is>
      </c>
      <c r="N41" t="inlineStr">
        <is>
          <t>No</t>
        </is>
      </c>
      <c r="O41" t="inlineStr">
        <is>
          <t>No</t>
        </is>
      </c>
      <c r="P41" t="inlineStr"/>
      <c r="Q41" t="inlineStr">
        <is>
          <t>Bad</t>
        </is>
      </c>
    </row>
    <row r="42">
      <c r="A42" t="inlineStr">
        <is>
          <t>nakshatra.b</t>
        </is>
      </c>
      <c r="B42" t="inlineStr">
        <is>
          <t>Nakshatra Bhatia</t>
        </is>
      </c>
      <c r="C42" t="inlineStr">
        <is>
          <t>nakshatra.b@osmosys.co</t>
        </is>
      </c>
      <c r="D42" t="inlineStr">
        <is>
          <t>incident-reporter</t>
        </is>
      </c>
      <c r="E42">
        <f>HYPERLINK("http://gitlab.osmosys.co/incident-reporter/incident-reporter-angular-portal", "OQSHA Portal")</f>
        <v/>
      </c>
      <c r="F42">
        <f>HYPERLINK("http://gitlab.osmosys.co/incident-reporter/incident-reporter-angular-portal/-/merge_requests/3666", "fix: fix in tasks calender and edit user page label")</f>
        <v/>
      </c>
      <c r="G42" t="inlineStr">
        <is>
          <t>fix/task-calender-user-labels</t>
        </is>
      </c>
      <c r="H42" t="inlineStr">
        <is>
          <t>sprint-18</t>
        </is>
      </c>
      <c r="I42" t="inlineStr">
        <is>
          <t>opened</t>
        </is>
      </c>
      <c r="J42" t="inlineStr"/>
      <c r="K42" t="inlineStr"/>
      <c r="L42" t="inlineStr"/>
      <c r="M42" t="inlineStr"/>
      <c r="N42" t="inlineStr"/>
      <c r="O42" t="inlineStr"/>
      <c r="P42" t="inlineStr"/>
      <c r="Q42" t="inlineStr"/>
    </row>
    <row r="43">
      <c r="A43" t="inlineStr">
        <is>
          <t>nakshatra.b</t>
        </is>
      </c>
      <c r="B43" t="inlineStr">
        <is>
          <t>Nakshatra Bhatia</t>
        </is>
      </c>
      <c r="C43" t="inlineStr">
        <is>
          <t>nakshatra.b@osmosys.co</t>
        </is>
      </c>
      <c r="D43" t="inlineStr">
        <is>
          <t>incident-reporter</t>
        </is>
      </c>
      <c r="E43">
        <f>HYPERLINK("http://gitlab.osmosys.co/incident-reporter/incident-reporter-angular-portal", "OQSHA Portal")</f>
        <v/>
      </c>
      <c r="F43">
        <f>HYPERLINK("http://gitlab.osmosys.co/incident-reporter/incident-reporter-angular-portal/-/merge_requests/3655", "fix: fix in task filters and moc comments")</f>
        <v/>
      </c>
      <c r="G43" t="inlineStr">
        <is>
          <t>fix/tasks-filter-selection</t>
        </is>
      </c>
      <c r="H43" t="inlineStr">
        <is>
          <t>sprint-18</t>
        </is>
      </c>
      <c r="I43" t="inlineStr">
        <is>
          <t>merged</t>
        </is>
      </c>
      <c r="J43" t="inlineStr">
        <is>
          <t>5b5a65525cd9848ff555214ac6cfa1b6cedc97b3</t>
        </is>
      </c>
      <c r="K43">
        <f>HYPERLINK("http://gitlab.osmosys.co/incident-reporter/incident-reporter-angular-portal/-/merge_requests/3655#note_243985", "Don't remove this already Raj mentioned in the group long back")</f>
        <v/>
      </c>
      <c r="L43" t="inlineStr">
        <is>
          <t>2025-07-29 19:20:58.985 IST</t>
        </is>
      </c>
      <c r="M43" t="inlineStr">
        <is>
          <t>Soundariya B</t>
        </is>
      </c>
      <c r="N43" t="inlineStr">
        <is>
          <t>Yes</t>
        </is>
      </c>
      <c r="O43" t="inlineStr">
        <is>
          <t>Yes</t>
        </is>
      </c>
      <c r="P43" t="inlineStr">
        <is>
          <t>Sameer Shaik</t>
        </is>
      </c>
      <c r="Q43" t="inlineStr">
        <is>
          <t>Bad</t>
        </is>
      </c>
    </row>
    <row r="44">
      <c r="A44" t="inlineStr">
        <is>
          <t>nakshatra.b</t>
        </is>
      </c>
      <c r="B44" t="inlineStr">
        <is>
          <t>Nakshatra Bhatia</t>
        </is>
      </c>
      <c r="C44" t="inlineStr">
        <is>
          <t>nakshatra.b@osmosys.co</t>
        </is>
      </c>
      <c r="D44" t="inlineStr">
        <is>
          <t>incident-reporter</t>
        </is>
      </c>
      <c r="E44">
        <f>HYPERLINK("http://gitlab.osmosys.co/incident-reporter/incident-reporter-angular-portal", "OQSHA Portal")</f>
        <v/>
      </c>
      <c r="F44">
        <f>HYPERLINK("http://gitlab.osmosys.co/incident-reporter/incident-reporter-angular-portal/-/merge_requests/3655", "fix: fix in task filters and moc comments")</f>
        <v/>
      </c>
      <c r="G44" t="inlineStr">
        <is>
          <t>fix/tasks-filter-selection</t>
        </is>
      </c>
      <c r="H44" t="inlineStr">
        <is>
          <t>sprint-18</t>
        </is>
      </c>
      <c r="I44" t="inlineStr">
        <is>
          <t>merged</t>
        </is>
      </c>
      <c r="J44" t="inlineStr">
        <is>
          <t>5b5a65525cd9848ff555214ac6cfa1b6cedc97b3</t>
        </is>
      </c>
      <c r="K44">
        <f>HYPERLINK("http://gitlab.osmosys.co/incident-reporter/incident-reporter-angular-portal/-/merge_requests/3655#note_243991", "actually it is breaking UI currently. Please check edit course page once.")</f>
        <v/>
      </c>
      <c r="L44" t="inlineStr">
        <is>
          <t>2025-07-29 19:26:00.373 IST</t>
        </is>
      </c>
      <c r="M44" t="inlineStr">
        <is>
          <t>Nakshatra Bhatia</t>
        </is>
      </c>
      <c r="N44" t="inlineStr">
        <is>
          <t>No</t>
        </is>
      </c>
      <c r="O44" t="inlineStr">
        <is>
          <t>Yes</t>
        </is>
      </c>
      <c r="P44" t="inlineStr">
        <is>
          <t>Sameer Shaik</t>
        </is>
      </c>
      <c r="Q44" t="inlineStr">
        <is>
          <t>Bad</t>
        </is>
      </c>
    </row>
    <row r="45">
      <c r="A45" t="inlineStr">
        <is>
          <t>nakshatra.b</t>
        </is>
      </c>
      <c r="B45" t="inlineStr">
        <is>
          <t>Nakshatra Bhatia</t>
        </is>
      </c>
      <c r="C45" t="inlineStr">
        <is>
          <t>nakshatra.b@osmosys.co</t>
        </is>
      </c>
      <c r="D45" t="inlineStr">
        <is>
          <t>incident-reporter</t>
        </is>
      </c>
      <c r="E45">
        <f>HYPERLINK("http://gitlab.osmosys.co/incident-reporter/incident-reporter-angular-portal", "OQSHA Portal")</f>
        <v/>
      </c>
      <c r="F45">
        <f>HYPERLINK("http://gitlab.osmosys.co/incident-reporter/incident-reporter-angular-portal/-/merge_requests/3655", "fix: fix in task filters and moc comments")</f>
        <v/>
      </c>
      <c r="G45" t="inlineStr">
        <is>
          <t>fix/tasks-filter-selection</t>
        </is>
      </c>
      <c r="H45" t="inlineStr">
        <is>
          <t>sprint-18</t>
        </is>
      </c>
      <c r="I45" t="inlineStr">
        <is>
          <t>merged</t>
        </is>
      </c>
      <c r="J45" t="inlineStr">
        <is>
          <t>5b5a65525cd9848ff555214ac6cfa1b6cedc97b3</t>
        </is>
      </c>
      <c r="K45">
        <f>HYPERLINK("http://gitlab.osmosys.co/incident-reporter/incident-reporter-angular-portal/-/merge_requests/3655#note_244024", "![tagtobody](/uploads/49b1255a2397407f72ba7f0f45ce6027/tagtobody.mp4)
it needs to be removed from here else causing UI issues")</f>
        <v/>
      </c>
      <c r="L45" t="inlineStr">
        <is>
          <t>2025-07-29 21:45:22.279 IST</t>
        </is>
      </c>
      <c r="M45" t="inlineStr">
        <is>
          <t>Nakshatra Bhatia</t>
        </is>
      </c>
      <c r="N45" t="inlineStr">
        <is>
          <t>No</t>
        </is>
      </c>
      <c r="O45" t="inlineStr">
        <is>
          <t>Yes</t>
        </is>
      </c>
      <c r="P45" t="inlineStr">
        <is>
          <t>Sameer Shaik</t>
        </is>
      </c>
      <c r="Q45" t="inlineStr">
        <is>
          <t>Bad</t>
        </is>
      </c>
    </row>
    <row r="46">
      <c r="A46" t="inlineStr">
        <is>
          <t>nakshatra.b</t>
        </is>
      </c>
      <c r="B46" t="inlineStr">
        <is>
          <t>Nakshatra Bhatia</t>
        </is>
      </c>
      <c r="C46" t="inlineStr">
        <is>
          <t>nakshatra.b@osmosys.co</t>
        </is>
      </c>
      <c r="D46" t="inlineStr">
        <is>
          <t>incident-reporter</t>
        </is>
      </c>
      <c r="E46">
        <f>HYPERLINK("http://gitlab.osmosys.co/incident-reporter/incident-reporter-angular-portal", "OQSHA Portal")</f>
        <v/>
      </c>
      <c r="F46">
        <f>HYPERLINK("http://gitlab.osmosys.co/incident-reporter/incident-reporter-angular-portal/-/merge_requests/3655", "fix: fix in task filters and moc comments")</f>
        <v/>
      </c>
      <c r="G46" t="inlineStr">
        <is>
          <t>fix/tasks-filter-selection</t>
        </is>
      </c>
      <c r="H46" t="inlineStr">
        <is>
          <t>sprint-18</t>
        </is>
      </c>
      <c r="I46" t="inlineStr">
        <is>
          <t>merged</t>
        </is>
      </c>
      <c r="J46" t="inlineStr">
        <is>
          <t>d2a7eb26818be5f4cb79985001ec5c375ee9c59b</t>
        </is>
      </c>
      <c r="K46">
        <f>HYPERLINK("http://gitlab.osmosys.co/incident-reporter/incident-reporter-angular-portal/-/merge_requests/3655#note_243986", "why these classname are remove? there is not issue with word wrapping in any of the bugs  - Revert this and fix it in other places")</f>
        <v/>
      </c>
      <c r="L46" t="inlineStr">
        <is>
          <t>2025-07-29 19:20:59.079 IST</t>
        </is>
      </c>
      <c r="M46" t="inlineStr">
        <is>
          <t>Soundariya B</t>
        </is>
      </c>
      <c r="N46" t="inlineStr">
        <is>
          <t>Yes</t>
        </is>
      </c>
      <c r="O46" t="inlineStr">
        <is>
          <t>Yes</t>
        </is>
      </c>
      <c r="P46" t="inlineStr">
        <is>
          <t>Sameer Shaik</t>
        </is>
      </c>
      <c r="Q46" t="inlineStr">
        <is>
          <t>Bad</t>
        </is>
      </c>
    </row>
    <row r="47">
      <c r="A47" t="inlineStr">
        <is>
          <t>nakshatra.b</t>
        </is>
      </c>
      <c r="B47" t="inlineStr">
        <is>
          <t>Nakshatra Bhatia</t>
        </is>
      </c>
      <c r="C47" t="inlineStr">
        <is>
          <t>nakshatra.b@osmosys.co</t>
        </is>
      </c>
      <c r="D47" t="inlineStr">
        <is>
          <t>incident-reporter</t>
        </is>
      </c>
      <c r="E47">
        <f>HYPERLINK("http://gitlab.osmosys.co/incident-reporter/incident-reporter-angular-portal", "OQSHA Portal")</f>
        <v/>
      </c>
      <c r="F47">
        <f>HYPERLINK("http://gitlab.osmosys.co/incident-reporter/incident-reporter-angular-portal/-/merge_requests/3655", "fix: fix in task filters and moc comments")</f>
        <v/>
      </c>
      <c r="G47" t="inlineStr">
        <is>
          <t>fix/tasks-filter-selection</t>
        </is>
      </c>
      <c r="H47" t="inlineStr">
        <is>
          <t>sprint-18</t>
        </is>
      </c>
      <c r="I47" t="inlineStr">
        <is>
          <t>merged</t>
        </is>
      </c>
      <c r="J47" t="inlineStr">
        <is>
          <t>d2a7eb26818be5f4cb79985001ec5c375ee9c59b</t>
        </is>
      </c>
      <c r="K47">
        <f>HYPERLINK("http://gitlab.osmosys.co/incident-reporter/incident-reporter-angular-portal/-/merge_requests/3655#note_244008", "added it back and increased width percentage")</f>
        <v/>
      </c>
      <c r="L47" t="inlineStr">
        <is>
          <t>2025-07-29 20:45:05.860 IST</t>
        </is>
      </c>
      <c r="M47" t="inlineStr">
        <is>
          <t>Nakshatra Bhatia</t>
        </is>
      </c>
      <c r="N47" t="inlineStr">
        <is>
          <t>No</t>
        </is>
      </c>
      <c r="O47" t="inlineStr">
        <is>
          <t>Yes</t>
        </is>
      </c>
      <c r="P47" t="inlineStr">
        <is>
          <t>Sameer Shaik</t>
        </is>
      </c>
      <c r="Q47" t="inlineStr">
        <is>
          <t>Bad</t>
        </is>
      </c>
    </row>
    <row r="48">
      <c r="A48" t="inlineStr">
        <is>
          <t>nakshatra.b</t>
        </is>
      </c>
      <c r="B48" t="inlineStr">
        <is>
          <t>Nakshatra Bhatia</t>
        </is>
      </c>
      <c r="C48" t="inlineStr">
        <is>
          <t>nakshatra.b@osmosys.co</t>
        </is>
      </c>
      <c r="D48" t="inlineStr">
        <is>
          <t>incident-reporter</t>
        </is>
      </c>
      <c r="E48">
        <f>HYPERLINK("http://gitlab.osmosys.co/incident-reporter/incident-reporter-angular-portal", "OQSHA Portal")</f>
        <v/>
      </c>
      <c r="F48">
        <f>HYPERLINK("http://gitlab.osmosys.co/incident-reporter/incident-reporter-angular-portal/-/merge_requests/3655", "fix: fix in task filters and moc comments")</f>
        <v/>
      </c>
      <c r="G48" t="inlineStr">
        <is>
          <t>fix/tasks-filter-selection</t>
        </is>
      </c>
      <c r="H48" t="inlineStr">
        <is>
          <t>sprint-18</t>
        </is>
      </c>
      <c r="I48" t="inlineStr">
        <is>
          <t>merged</t>
        </is>
      </c>
      <c r="J48" t="inlineStr">
        <is>
          <t>9fbce0752809da62b0c1d95fa96cf0fac300be3a</t>
        </is>
      </c>
      <c r="K48">
        <f>HYPERLINK("http://gitlab.osmosys.co/incident-reporter/incident-reporter-angular-portal/-/merge_requests/3655#note_243987", "Call this as common outside the if..else block because if filterKey is there or not doesn't matter this API should call as per your fixes so its better to call it out side of if..else block.")</f>
        <v/>
      </c>
      <c r="L48" t="inlineStr">
        <is>
          <t>2025-07-29 19:20:59.160 IST</t>
        </is>
      </c>
      <c r="M48" t="inlineStr">
        <is>
          <t>Soundariya B</t>
        </is>
      </c>
      <c r="N48" t="inlineStr">
        <is>
          <t>Yes</t>
        </is>
      </c>
      <c r="O48" t="inlineStr">
        <is>
          <t>Yes</t>
        </is>
      </c>
      <c r="P48" t="inlineStr">
        <is>
          <t>Sameer Shaik</t>
        </is>
      </c>
      <c r="Q48" t="inlineStr">
        <is>
          <t>Bad</t>
        </is>
      </c>
    </row>
    <row r="49">
      <c r="A49" t="inlineStr">
        <is>
          <t>nakshatra.b</t>
        </is>
      </c>
      <c r="B49" t="inlineStr">
        <is>
          <t>Nakshatra Bhatia</t>
        </is>
      </c>
      <c r="C49" t="inlineStr">
        <is>
          <t>nakshatra.b@osmosys.co</t>
        </is>
      </c>
      <c r="D49" t="inlineStr">
        <is>
          <t>incident-reporter</t>
        </is>
      </c>
      <c r="E49">
        <f>HYPERLINK("http://gitlab.osmosys.co/incident-reporter/incident-reporter-angular-portal", "OQSHA Portal")</f>
        <v/>
      </c>
      <c r="F49">
        <f>HYPERLINK("http://gitlab.osmosys.co/incident-reporter/incident-reporter-angular-portal/-/merge_requests/3655", "fix: fix in task filters and moc comments")</f>
        <v/>
      </c>
      <c r="G49" t="inlineStr">
        <is>
          <t>fix/tasks-filter-selection</t>
        </is>
      </c>
      <c r="H49" t="inlineStr">
        <is>
          <t>sprint-18</t>
        </is>
      </c>
      <c r="I49" t="inlineStr">
        <is>
          <t>merged</t>
        </is>
      </c>
      <c r="J49" t="inlineStr">
        <is>
          <t>9fbce0752809da62b0c1d95fa96cf0fac300be3a</t>
        </is>
      </c>
      <c r="K49">
        <f>HYPERLINK("http://gitlab.osmosys.co/incident-reporter/incident-reporter-angular-portal/-/merge_requests/3655#note_243994", "fixed it")</f>
        <v/>
      </c>
      <c r="L49" t="inlineStr">
        <is>
          <t>2025-07-29 19:44:35.579 IST</t>
        </is>
      </c>
      <c r="M49" t="inlineStr">
        <is>
          <t>Nakshatra Bhatia</t>
        </is>
      </c>
      <c r="N49" t="inlineStr">
        <is>
          <t>No</t>
        </is>
      </c>
      <c r="O49" t="inlineStr">
        <is>
          <t>Yes</t>
        </is>
      </c>
      <c r="P49" t="inlineStr">
        <is>
          <t>Sameer Shaik</t>
        </is>
      </c>
      <c r="Q49" t="inlineStr">
        <is>
          <t>Bad</t>
        </is>
      </c>
    </row>
    <row r="50">
      <c r="A50" t="inlineStr">
        <is>
          <t>nakshatra.b</t>
        </is>
      </c>
      <c r="B50" t="inlineStr">
        <is>
          <t>Nakshatra Bhatia</t>
        </is>
      </c>
      <c r="C50" t="inlineStr">
        <is>
          <t>nakshatra.b@osmosys.co</t>
        </is>
      </c>
      <c r="D50" t="inlineStr">
        <is>
          <t>incident-reporter</t>
        </is>
      </c>
      <c r="E50">
        <f>HYPERLINK("http://gitlab.osmosys.co/incident-reporter/incident-reporter-angular-portal", "OQSHA Portal")</f>
        <v/>
      </c>
      <c r="F50">
        <f>HYPERLINK("http://gitlab.osmosys.co/incident-reporter/incident-reporter-angular-portal/-/merge_requests/3655", "fix: fix in task filters and moc comments")</f>
        <v/>
      </c>
      <c r="G50" t="inlineStr">
        <is>
          <t>fix/tasks-filter-selection</t>
        </is>
      </c>
      <c r="H50" t="inlineStr">
        <is>
          <t>sprint-18</t>
        </is>
      </c>
      <c r="I50" t="inlineStr">
        <is>
          <t>merged</t>
        </is>
      </c>
      <c r="J50" t="inlineStr">
        <is>
          <t>2e0e89a136da995e99f001266f3d7fa9207aa378</t>
        </is>
      </c>
      <c r="K50">
        <f>HYPERLINK("http://gitlab.osmosys.co/incident-reporter/incident-reporter-angular-portal/-/merge_requests/3655#note_243988", "Call this as common outside the if..else block because if filterKey is there or not doesn't matter this API should call as per your fixes so its better to call it out side of if..else block.")</f>
        <v/>
      </c>
      <c r="L50" t="inlineStr">
        <is>
          <t>2025-07-29 19:20:59.220 IST</t>
        </is>
      </c>
      <c r="M50" t="inlineStr">
        <is>
          <t>Soundariya B</t>
        </is>
      </c>
      <c r="N50" t="inlineStr">
        <is>
          <t>Yes</t>
        </is>
      </c>
      <c r="O50" t="inlineStr">
        <is>
          <t>Yes</t>
        </is>
      </c>
      <c r="P50" t="inlineStr">
        <is>
          <t>Sameer Shaik</t>
        </is>
      </c>
      <c r="Q50" t="inlineStr">
        <is>
          <t>Bad</t>
        </is>
      </c>
    </row>
    <row r="51">
      <c r="A51" t="inlineStr">
        <is>
          <t>nakshatra.b</t>
        </is>
      </c>
      <c r="B51" t="inlineStr">
        <is>
          <t>Nakshatra Bhatia</t>
        </is>
      </c>
      <c r="C51" t="inlineStr">
        <is>
          <t>nakshatra.b@osmosys.co</t>
        </is>
      </c>
      <c r="D51" t="inlineStr">
        <is>
          <t>incident-reporter</t>
        </is>
      </c>
      <c r="E51">
        <f>HYPERLINK("http://gitlab.osmosys.co/incident-reporter/incident-reporter-angular-portal", "OQSHA Portal")</f>
        <v/>
      </c>
      <c r="F51">
        <f>HYPERLINK("http://gitlab.osmosys.co/incident-reporter/incident-reporter-angular-portal/-/merge_requests/3655", "fix: fix in task filters and moc comments")</f>
        <v/>
      </c>
      <c r="G51" t="inlineStr">
        <is>
          <t>fix/tasks-filter-selection</t>
        </is>
      </c>
      <c r="H51" t="inlineStr">
        <is>
          <t>sprint-18</t>
        </is>
      </c>
      <c r="I51" t="inlineStr">
        <is>
          <t>merged</t>
        </is>
      </c>
      <c r="J51" t="inlineStr">
        <is>
          <t>2e0e89a136da995e99f001266f3d7fa9207aa378</t>
        </is>
      </c>
      <c r="K51">
        <f>HYPERLINK("http://gitlab.osmosys.co/incident-reporter/incident-reporter-angular-portal/-/merge_requests/3655#note_244009", "fixed it")</f>
        <v/>
      </c>
      <c r="L51" t="inlineStr">
        <is>
          <t>2025-07-29 21:00:32.664 IST</t>
        </is>
      </c>
      <c r="M51" t="inlineStr">
        <is>
          <t>Nakshatra Bhatia</t>
        </is>
      </c>
      <c r="N51" t="inlineStr">
        <is>
          <t>No</t>
        </is>
      </c>
      <c r="O51" t="inlineStr">
        <is>
          <t>Yes</t>
        </is>
      </c>
      <c r="P51" t="inlineStr">
        <is>
          <t>Sameer Shaik</t>
        </is>
      </c>
      <c r="Q51" t="inlineStr">
        <is>
          <t>Bad</t>
        </is>
      </c>
    </row>
    <row r="52">
      <c r="A52" t="inlineStr">
        <is>
          <t>nakshatra.b</t>
        </is>
      </c>
      <c r="B52" t="inlineStr">
        <is>
          <t>Nakshatra Bhatia</t>
        </is>
      </c>
      <c r="C52" t="inlineStr">
        <is>
          <t>nakshatra.b@osmosys.co</t>
        </is>
      </c>
      <c r="D52" t="inlineStr">
        <is>
          <t>incident-reporter</t>
        </is>
      </c>
      <c r="E52">
        <f>HYPERLINK("http://gitlab.osmosys.co/incident-reporter/incident-reporter-angular-portal", "OQSHA Portal")</f>
        <v/>
      </c>
      <c r="F52">
        <f>HYPERLINK("http://gitlab.osmosys.co/incident-reporter/incident-reporter-angular-portal/-/merge_requests/3655", "fix: fix in task filters and moc comments")</f>
        <v/>
      </c>
      <c r="G52" t="inlineStr">
        <is>
          <t>fix/tasks-filter-selection</t>
        </is>
      </c>
      <c r="H52" t="inlineStr">
        <is>
          <t>sprint-18</t>
        </is>
      </c>
      <c r="I52" t="inlineStr">
        <is>
          <t>merged</t>
        </is>
      </c>
      <c r="J52" t="inlineStr">
        <is>
          <t>8158290db92c0c848bea4d827662946f6f7c4bab</t>
        </is>
      </c>
      <c r="K52">
        <f>HYPERLINK("http://gitlab.osmosys.co/incident-reporter/incident-reporter-angular-portal/-/merge_requests/3655#note_243989", "This api might call 2 times - 1 is on load another one is on get filterKey so please check once if two call happening as I remembered we should do duplicate calls which increases the loading time of the grid.
And also one question if not get filterKey then this function will not call? Means how its handling?")</f>
        <v/>
      </c>
      <c r="L52" t="inlineStr">
        <is>
          <t>2025-07-29 19:20:59.283 IST</t>
        </is>
      </c>
      <c r="M52" t="inlineStr">
        <is>
          <t>Soundariya B</t>
        </is>
      </c>
      <c r="N52" t="inlineStr">
        <is>
          <t>Yes</t>
        </is>
      </c>
      <c r="O52" t="inlineStr">
        <is>
          <t>Yes</t>
        </is>
      </c>
      <c r="P52" t="inlineStr">
        <is>
          <t>Sameer Shaik</t>
        </is>
      </c>
      <c r="Q52" t="inlineStr">
        <is>
          <t>Bad</t>
        </is>
      </c>
    </row>
    <row r="53">
      <c r="A53" t="inlineStr">
        <is>
          <t>nakshatra.b</t>
        </is>
      </c>
      <c r="B53" t="inlineStr">
        <is>
          <t>Nakshatra Bhatia</t>
        </is>
      </c>
      <c r="C53" t="inlineStr">
        <is>
          <t>nakshatra.b@osmosys.co</t>
        </is>
      </c>
      <c r="D53" t="inlineStr">
        <is>
          <t>incident-reporter</t>
        </is>
      </c>
      <c r="E53">
        <f>HYPERLINK("http://gitlab.osmosys.co/incident-reporter/incident-reporter-angular-portal", "OQSHA Portal")</f>
        <v/>
      </c>
      <c r="F53">
        <f>HYPERLINK("http://gitlab.osmosys.co/incident-reporter/incident-reporter-angular-portal/-/merge_requests/3655", "fix: fix in task filters and moc comments")</f>
        <v/>
      </c>
      <c r="G53" t="inlineStr">
        <is>
          <t>fix/tasks-filter-selection</t>
        </is>
      </c>
      <c r="H53" t="inlineStr">
        <is>
          <t>sprint-18</t>
        </is>
      </c>
      <c r="I53" t="inlineStr">
        <is>
          <t>merged</t>
        </is>
      </c>
      <c r="J53" t="inlineStr">
        <is>
          <t>8158290db92c0c848bea4d827662946f6f7c4bab</t>
        </is>
      </c>
      <c r="K53">
        <f>HYPERLINK("http://gitlab.osmosys.co/incident-reporter/incident-reporter-angular-portal/-/merge_requests/3655#note_244011", "i removed the call from ngoninit and called it here in loadsavedpreference  to reduce double API call load.
Eventually everytime when there is filterkey we have to go through this function.
Earlier in else part it got handled with ngonint duplicate call since now i moved it at the end so we need this after both if and else block. 
![image](/uploads/b9a1c130614869792ff4eb71332d67d9/image.png){width=402 height=74}")</f>
        <v/>
      </c>
      <c r="L53" t="inlineStr">
        <is>
          <t>2025-07-29 21:03:54.199 IST</t>
        </is>
      </c>
      <c r="M53" t="inlineStr">
        <is>
          <t>Nakshatra Bhatia</t>
        </is>
      </c>
      <c r="N53" t="inlineStr">
        <is>
          <t>No</t>
        </is>
      </c>
      <c r="O53" t="inlineStr">
        <is>
          <t>Yes</t>
        </is>
      </c>
      <c r="P53" t="inlineStr">
        <is>
          <t>Sameer Shaik</t>
        </is>
      </c>
      <c r="Q53" t="inlineStr">
        <is>
          <t>Bad</t>
        </is>
      </c>
    </row>
    <row r="54">
      <c r="A54" t="inlineStr">
        <is>
          <t>nakshatra.b</t>
        </is>
      </c>
      <c r="B54" t="inlineStr">
        <is>
          <t>Nakshatra Bhatia</t>
        </is>
      </c>
      <c r="C54" t="inlineStr">
        <is>
          <t>nakshatra.b@osmosys.co</t>
        </is>
      </c>
      <c r="D54" t="inlineStr">
        <is>
          <t>incident-reporter</t>
        </is>
      </c>
      <c r="E54">
        <f>HYPERLINK("http://gitlab.osmosys.co/incident-reporter/incident-reporter-angular-portal", "OQSHA Portal")</f>
        <v/>
      </c>
      <c r="F54">
        <f>HYPERLINK("http://gitlab.osmosys.co/incident-reporter/incident-reporter-angular-portal/-/merge_requests/3655", "fix: fix in task filters and moc comments")</f>
        <v/>
      </c>
      <c r="G54" t="inlineStr">
        <is>
          <t>fix/tasks-filter-selection</t>
        </is>
      </c>
      <c r="H54" t="inlineStr">
        <is>
          <t>sprint-18</t>
        </is>
      </c>
      <c r="I54" t="inlineStr">
        <is>
          <t>merged</t>
        </is>
      </c>
      <c r="J54" t="inlineStr">
        <is>
          <t>8158290db92c0c848bea4d827662946f6f7c4bab</t>
        </is>
      </c>
      <c r="K54">
        <f>HYPERLINK("http://gitlab.osmosys.co/incident-reporter/incident-reporter-angular-portal/-/merge_requests/3655#note_244012", "Image i share is of ngonint in tasks filter which will eventualy lead us to this code to load previously filtered data.")</f>
        <v/>
      </c>
      <c r="L54" t="inlineStr">
        <is>
          <t>2025-07-29 21:04:43.033 IST</t>
        </is>
      </c>
      <c r="M54" t="inlineStr">
        <is>
          <t>Nakshatra Bhatia</t>
        </is>
      </c>
      <c r="N54" t="inlineStr">
        <is>
          <t>No</t>
        </is>
      </c>
      <c r="O54" t="inlineStr">
        <is>
          <t>Yes</t>
        </is>
      </c>
      <c r="P54" t="inlineStr">
        <is>
          <t>Sameer Shaik</t>
        </is>
      </c>
      <c r="Q54" t="inlineStr">
        <is>
          <t>Bad</t>
        </is>
      </c>
    </row>
    <row r="55">
      <c r="A55" t="inlineStr">
        <is>
          <t>nakshatra.b</t>
        </is>
      </c>
      <c r="B55" t="inlineStr">
        <is>
          <t>Nakshatra Bhatia</t>
        </is>
      </c>
      <c r="C55" t="inlineStr">
        <is>
          <t>nakshatra.b@osmosys.co</t>
        </is>
      </c>
      <c r="D55" t="inlineStr">
        <is>
          <t>incident-reporter</t>
        </is>
      </c>
      <c r="E55">
        <f>HYPERLINK("http://gitlab.osmosys.co/incident-reporter/incident-reporter-angular-portal", "OQSHA Portal")</f>
        <v/>
      </c>
      <c r="F55">
        <f>HYPERLINK("http://gitlab.osmosys.co/incident-reporter/incident-reporter-angular-portal/-/merge_requests/3600", "fix: fix comment loading in edit page and adjust setup page navigation")</f>
        <v/>
      </c>
      <c r="G55" t="inlineStr">
        <is>
          <t>fix/update-comment-edit</t>
        </is>
      </c>
      <c r="H55" t="inlineStr">
        <is>
          <t>sprint-18</t>
        </is>
      </c>
      <c r="I55" t="inlineStr">
        <is>
          <t>merged</t>
        </is>
      </c>
      <c r="J55" t="inlineStr"/>
      <c r="K55" t="inlineStr"/>
      <c r="L55" t="inlineStr"/>
      <c r="M55" t="inlineStr"/>
      <c r="N55" t="inlineStr"/>
      <c r="O55" t="inlineStr"/>
      <c r="P55" t="inlineStr"/>
      <c r="Q55" t="inlineStr"/>
    </row>
    <row r="56">
      <c r="A56" t="inlineStr">
        <is>
          <t>nakshatra.b</t>
        </is>
      </c>
      <c r="B56" t="inlineStr">
        <is>
          <t>Nakshatra Bhatia</t>
        </is>
      </c>
      <c r="C56" t="inlineStr">
        <is>
          <t>nakshatra.b@osmosys.co</t>
        </is>
      </c>
      <c r="D56" t="inlineStr">
        <is>
          <t>incident-reporter</t>
        </is>
      </c>
      <c r="E56">
        <f>HYPERLINK("http://gitlab.osmosys.co/incident-reporter/incident-reporter-angular-portal", "OQSHA Portal")</f>
        <v/>
      </c>
      <c r="F56">
        <f>HYPERLINK("http://gitlab.osmosys.co/incident-reporter/incident-reporter-angular-portal/-/merge_requests/3595", "fix: fix task filter and asset involved in task page")</f>
        <v/>
      </c>
      <c r="G56" t="inlineStr">
        <is>
          <t>fix/task-filter-dropdown-adjust</t>
        </is>
      </c>
      <c r="H56" t="inlineStr">
        <is>
          <t>sprint-18</t>
        </is>
      </c>
      <c r="I56" t="inlineStr">
        <is>
          <t>merged</t>
        </is>
      </c>
      <c r="J56" t="inlineStr"/>
      <c r="K56" t="inlineStr"/>
      <c r="L56" t="inlineStr"/>
      <c r="M56" t="inlineStr"/>
      <c r="N56" t="inlineStr"/>
      <c r="O56" t="inlineStr"/>
      <c r="P56" t="inlineStr"/>
      <c r="Q56" t="inlineStr"/>
    </row>
    <row r="57">
      <c r="A57" t="inlineStr">
        <is>
          <t>nakshatra.b</t>
        </is>
      </c>
      <c r="B57" t="inlineStr">
        <is>
          <t>Nakshatra Bhatia</t>
        </is>
      </c>
      <c r="C57" t="inlineStr">
        <is>
          <t>nakshatra.b@osmosys.co</t>
        </is>
      </c>
      <c r="D57" t="inlineStr">
        <is>
          <t>incident-reporter</t>
        </is>
      </c>
      <c r="E57">
        <f>HYPERLINK("http://gitlab.osmosys.co/incident-reporter/incident-reporter-angular-portal", "OQSHA Portal")</f>
        <v/>
      </c>
      <c r="F57">
        <f>HYPERLINK("http://gitlab.osmosys.co/incident-reporter/incident-reporter-angular-portal/-/merge_requests/3588", "fix: labels in incident list page and inspection count")</f>
        <v/>
      </c>
      <c r="G57" t="inlineStr">
        <is>
          <t>fix/incident-label-inspection</t>
        </is>
      </c>
      <c r="H57" t="inlineStr">
        <is>
          <t>sprint-18</t>
        </is>
      </c>
      <c r="I57" t="inlineStr">
        <is>
          <t>merged</t>
        </is>
      </c>
      <c r="J57" t="inlineStr"/>
      <c r="K57" t="inlineStr"/>
      <c r="L57" t="inlineStr"/>
      <c r="M57" t="inlineStr"/>
      <c r="N57" t="inlineStr"/>
      <c r="O57" t="inlineStr"/>
      <c r="P57" t="inlineStr"/>
      <c r="Q57" t="inlineStr"/>
    </row>
    <row r="58">
      <c r="A58" t="inlineStr">
        <is>
          <t>nakshatra.b</t>
        </is>
      </c>
      <c r="B58" t="inlineStr">
        <is>
          <t>Nakshatra Bhatia</t>
        </is>
      </c>
      <c r="C58" t="inlineStr">
        <is>
          <t>nakshatra.b@osmosys.co</t>
        </is>
      </c>
      <c r="D58" t="inlineStr">
        <is>
          <t>incident-reporter</t>
        </is>
      </c>
      <c r="E58">
        <f>HYPERLINK("http://gitlab.osmosys.co/incident-reporter/incident-reporter-angular-portal", "OQSHA Portal")</f>
        <v/>
      </c>
      <c r="F58">
        <f>HYPERLINK("http://gitlab.osmosys.co/incident-reporter/incident-reporter-angular-portal/-/merge_requests/3502", "fix: fix comment in edit page and setup page naviagtion")</f>
        <v/>
      </c>
      <c r="G58" t="inlineStr">
        <is>
          <t>fix/update-comment-editpage</t>
        </is>
      </c>
      <c r="H58" t="inlineStr">
        <is>
          <t>sprint-17</t>
        </is>
      </c>
      <c r="I58" t="inlineStr">
        <is>
          <t>closed</t>
        </is>
      </c>
      <c r="J58" t="inlineStr">
        <is>
          <t>78c30798b7d003cd3f1aa439d6182f55fba5091e</t>
        </is>
      </c>
      <c r="K58">
        <f>HYPERLINK("http://gitlab.osmosys.co/incident-reporter/incident-reporter-angular-portal/-/merge_requests/3502#note_238873", "Use the parseInt with radix")</f>
        <v/>
      </c>
      <c r="L58" t="inlineStr">
        <is>
          <t>2025-07-18 16:25:14.460 IST</t>
        </is>
      </c>
      <c r="M58" t="inlineStr">
        <is>
          <t>Soundariya B</t>
        </is>
      </c>
      <c r="N58" t="inlineStr">
        <is>
          <t>Yes</t>
        </is>
      </c>
      <c r="O58" t="inlineStr">
        <is>
          <t>Yes</t>
        </is>
      </c>
      <c r="P58" t="inlineStr">
        <is>
          <t>Soundariya B</t>
        </is>
      </c>
      <c r="Q58" t="inlineStr">
        <is>
          <t>Bad</t>
        </is>
      </c>
    </row>
    <row r="59">
      <c r="A59" t="inlineStr">
        <is>
          <t>nakshatra.b</t>
        </is>
      </c>
      <c r="B59" t="inlineStr">
        <is>
          <t>Nakshatra Bhatia</t>
        </is>
      </c>
      <c r="C59" t="inlineStr">
        <is>
          <t>nakshatra.b@osmosys.co</t>
        </is>
      </c>
      <c r="D59" t="inlineStr">
        <is>
          <t>incident-reporter</t>
        </is>
      </c>
      <c r="E59">
        <f>HYPERLINK("http://gitlab.osmosys.co/incident-reporter/incident-reporter-angular-portal", "OQSHA Portal")</f>
        <v/>
      </c>
      <c r="F59">
        <f>HYPERLINK("http://gitlab.osmosys.co/incident-reporter/incident-reporter-angular-portal/-/merge_requests/3502", "fix: fix comment in edit page and setup page naviagtion")</f>
        <v/>
      </c>
      <c r="G59" t="inlineStr">
        <is>
          <t>fix/update-comment-editpage</t>
        </is>
      </c>
      <c r="H59" t="inlineStr">
        <is>
          <t>sprint-17</t>
        </is>
      </c>
      <c r="I59" t="inlineStr">
        <is>
          <t>closed</t>
        </is>
      </c>
      <c r="J59" t="inlineStr">
        <is>
          <t>0fa8a53c58aa1ce15dfaf01393a6ddeb5d0f6c57</t>
        </is>
      </c>
      <c r="K59">
        <f>HYPERLINK("http://gitlab.osmosys.co/incident-reporter/incident-reporter-angular-portal/-/merge_requests/3502#note_238874", "Get the hardcoded from constant file")</f>
        <v/>
      </c>
      <c r="L59" t="inlineStr">
        <is>
          <t>2025-07-18 16:25:14.560 IST</t>
        </is>
      </c>
      <c r="M59" t="inlineStr">
        <is>
          <t>Soundariya B</t>
        </is>
      </c>
      <c r="N59" t="inlineStr">
        <is>
          <t>Yes</t>
        </is>
      </c>
      <c r="O59" t="inlineStr">
        <is>
          <t>Yes</t>
        </is>
      </c>
      <c r="P59" t="inlineStr">
        <is>
          <t>Soundariya B</t>
        </is>
      </c>
      <c r="Q59" t="inlineStr">
        <is>
          <t>Bad</t>
        </is>
      </c>
    </row>
    <row r="60">
      <c r="A60" t="inlineStr">
        <is>
          <t>nakshatra.b</t>
        </is>
      </c>
      <c r="B60" t="inlineStr">
        <is>
          <t>Nakshatra Bhatia</t>
        </is>
      </c>
      <c r="C60" t="inlineStr">
        <is>
          <t>nakshatra.b@osmosys.co</t>
        </is>
      </c>
      <c r="D60" t="inlineStr">
        <is>
          <t>incident-reporter</t>
        </is>
      </c>
      <c r="E60">
        <f>HYPERLINK("http://gitlab.osmosys.co/incident-reporter/incident-reporter-angular-portal", "OQSHA Portal")</f>
        <v/>
      </c>
      <c r="F60">
        <f>HYPERLINK("http://gitlab.osmosys.co/incident-reporter/incident-reporter-angular-portal/-/merge_requests/3502", "fix: fix comment in edit page and setup page naviagtion")</f>
        <v/>
      </c>
      <c r="G60" t="inlineStr">
        <is>
          <t>fix/update-comment-editpage</t>
        </is>
      </c>
      <c r="H60" t="inlineStr">
        <is>
          <t>sprint-17</t>
        </is>
      </c>
      <c r="I60" t="inlineStr">
        <is>
          <t>closed</t>
        </is>
      </c>
      <c r="J60" t="inlineStr">
        <is>
          <t>664c53e8515439e2ace438f1afe13672eebedae3</t>
        </is>
      </c>
      <c r="K60">
        <f>HYPERLINK("http://gitlab.osmosys.co/incident-reporter/incident-reporter-angular-portal/-/merge_requests/3502#note_238875", "Assignment while passing an argument is not recommended")</f>
        <v/>
      </c>
      <c r="L60" t="inlineStr">
        <is>
          <t>2025-07-18 16:25:14.618 IST</t>
        </is>
      </c>
      <c r="M60" t="inlineStr">
        <is>
          <t>Soundariya B</t>
        </is>
      </c>
      <c r="N60" t="inlineStr">
        <is>
          <t>Yes</t>
        </is>
      </c>
      <c r="O60" t="inlineStr">
        <is>
          <t>Yes</t>
        </is>
      </c>
      <c r="P60" t="inlineStr">
        <is>
          <t>Soundariya B</t>
        </is>
      </c>
      <c r="Q60" t="inlineStr">
        <is>
          <t>Bad</t>
        </is>
      </c>
    </row>
    <row r="61">
      <c r="A61" t="inlineStr">
        <is>
          <t>nakshatra.b</t>
        </is>
      </c>
      <c r="B61" t="inlineStr">
        <is>
          <t>Nakshatra Bhatia</t>
        </is>
      </c>
      <c r="C61" t="inlineStr">
        <is>
          <t>nakshatra.b@osmosys.co</t>
        </is>
      </c>
      <c r="D61" t="inlineStr">
        <is>
          <t>incident-reporter</t>
        </is>
      </c>
      <c r="E61">
        <f>HYPERLINK("http://gitlab.osmosys.co/incident-reporter/incident-reporter-angular-portal", "OQSHA Portal")</f>
        <v/>
      </c>
      <c r="F61">
        <f>HYPERLINK("http://gitlab.osmosys.co/incident-reporter/incident-reporter-angular-portal/-/merge_requests/3502", "fix: fix comment in edit page and setup page naviagtion")</f>
        <v/>
      </c>
      <c r="G61" t="inlineStr">
        <is>
          <t>fix/update-comment-editpage</t>
        </is>
      </c>
      <c r="H61" t="inlineStr">
        <is>
          <t>sprint-17</t>
        </is>
      </c>
      <c r="I61" t="inlineStr">
        <is>
          <t>closed</t>
        </is>
      </c>
      <c r="J61" t="inlineStr">
        <is>
          <t>08847ff510eb5442f510fe3975d117079ce366d2</t>
        </is>
      </c>
      <c r="K61">
        <f>HYPERLINK("http://gitlab.osmosys.co/incident-reporter/incident-reporter-angular-portal/-/merge_requests/3502#note_238876", "Get the hardcoded from constant file")</f>
        <v/>
      </c>
      <c r="L61" t="inlineStr">
        <is>
          <t>2025-07-18 16:25:14.709 IST</t>
        </is>
      </c>
      <c r="M61" t="inlineStr">
        <is>
          <t>Soundariya B</t>
        </is>
      </c>
      <c r="N61" t="inlineStr">
        <is>
          <t>Yes</t>
        </is>
      </c>
      <c r="O61" t="inlineStr">
        <is>
          <t>Yes</t>
        </is>
      </c>
      <c r="P61" t="inlineStr">
        <is>
          <t>Soundariya B</t>
        </is>
      </c>
      <c r="Q61" t="inlineStr">
        <is>
          <t>Bad</t>
        </is>
      </c>
    </row>
    <row r="62">
      <c r="A62" t="inlineStr">
        <is>
          <t>nakshatra.b</t>
        </is>
      </c>
      <c r="B62" t="inlineStr">
        <is>
          <t>Nakshatra Bhatia</t>
        </is>
      </c>
      <c r="C62" t="inlineStr">
        <is>
          <t>nakshatra.b@osmosys.co</t>
        </is>
      </c>
      <c r="D62" t="inlineStr">
        <is>
          <t>incident-reporter</t>
        </is>
      </c>
      <c r="E62">
        <f>HYPERLINK("http://gitlab.osmosys.co/incident-reporter/incident-reporter-angular-portal", "OQSHA Portal")</f>
        <v/>
      </c>
      <c r="F62">
        <f>HYPERLINK("http://gitlab.osmosys.co/incident-reporter/incident-reporter-angular-portal/-/merge_requests/3471", "feat: add due date and assigned status in tickets page")</f>
        <v/>
      </c>
      <c r="G62" t="inlineStr">
        <is>
          <t>feat/new-validated-status</t>
        </is>
      </c>
      <c r="H62" t="inlineStr">
        <is>
          <t>sprint-17</t>
        </is>
      </c>
      <c r="I62" t="inlineStr">
        <is>
          <t>merged</t>
        </is>
      </c>
      <c r="J62" t="inlineStr">
        <is>
          <t>d8626504c6e9ee3c22aa53635edcd431d4265fff</t>
        </is>
      </c>
      <c r="K62">
        <f>HYPERLINK("http://gitlab.osmosys.co/incident-reporter/incident-reporter-angular-portal/-/merge_requests/3471#note_237939", "Use block structure")</f>
        <v/>
      </c>
      <c r="L62" t="inlineStr">
        <is>
          <t>2025-07-16 21:59:16.785 IST</t>
        </is>
      </c>
      <c r="M62" t="inlineStr">
        <is>
          <t>Soundariya B</t>
        </is>
      </c>
      <c r="N62" t="inlineStr">
        <is>
          <t>Yes</t>
        </is>
      </c>
      <c r="O62" t="inlineStr">
        <is>
          <t>Yes</t>
        </is>
      </c>
      <c r="P62" t="inlineStr">
        <is>
          <t>Soundariya B</t>
        </is>
      </c>
      <c r="Q62" t="inlineStr">
        <is>
          <t>Bad</t>
        </is>
      </c>
    </row>
    <row r="63">
      <c r="A63" t="inlineStr">
        <is>
          <t>nakshatra.b</t>
        </is>
      </c>
      <c r="B63" t="inlineStr">
        <is>
          <t>Nakshatra Bhatia</t>
        </is>
      </c>
      <c r="C63" t="inlineStr">
        <is>
          <t>nakshatra.b@osmosys.co</t>
        </is>
      </c>
      <c r="D63" t="inlineStr">
        <is>
          <t>incident-reporter</t>
        </is>
      </c>
      <c r="E63">
        <f>HYPERLINK("http://gitlab.osmosys.co/incident-reporter/incident-reporter-angular-portal", "OQSHA Portal")</f>
        <v/>
      </c>
      <c r="F63">
        <f>HYPERLINK("http://gitlab.osmosys.co/incident-reporter/incident-reporter-angular-portal/-/merge_requests/3471", "feat: add due date and assigned status in tickets page")</f>
        <v/>
      </c>
      <c r="G63" t="inlineStr">
        <is>
          <t>feat/new-validated-status</t>
        </is>
      </c>
      <c r="H63" t="inlineStr">
        <is>
          <t>sprint-17</t>
        </is>
      </c>
      <c r="I63" t="inlineStr">
        <is>
          <t>merged</t>
        </is>
      </c>
      <c r="J63" t="inlineStr">
        <is>
          <t>70a6becbc217fac252bd52626c3c17a7738384d0</t>
        </is>
      </c>
      <c r="K63">
        <f>HYPERLINK("http://gitlab.osmosys.co/incident-reporter/incident-reporter-angular-portal/-/merge_requests/3471#note_237940", "Use block structure")</f>
        <v/>
      </c>
      <c r="L63" t="inlineStr">
        <is>
          <t>2025-07-16 21:59:16.850 IST</t>
        </is>
      </c>
      <c r="M63" t="inlineStr">
        <is>
          <t>Soundariya B</t>
        </is>
      </c>
      <c r="N63" t="inlineStr">
        <is>
          <t>Yes</t>
        </is>
      </c>
      <c r="O63" t="inlineStr">
        <is>
          <t>Yes</t>
        </is>
      </c>
      <c r="P63" t="inlineStr">
        <is>
          <t>Soundariya B</t>
        </is>
      </c>
      <c r="Q63" t="inlineStr">
        <is>
          <t>Bad</t>
        </is>
      </c>
    </row>
    <row r="64">
      <c r="A64" t="inlineStr">
        <is>
          <t>nakshatra.b</t>
        </is>
      </c>
      <c r="B64" t="inlineStr">
        <is>
          <t>Nakshatra Bhatia</t>
        </is>
      </c>
      <c r="C64" t="inlineStr">
        <is>
          <t>nakshatra.b@osmosys.co</t>
        </is>
      </c>
      <c r="D64" t="inlineStr">
        <is>
          <t>incident-reporter</t>
        </is>
      </c>
      <c r="E64">
        <f>HYPERLINK("http://gitlab.osmosys.co/incident-reporter/incident-reporter-angular-portal", "OQSHA Portal")</f>
        <v/>
      </c>
      <c r="F64">
        <f>HYPERLINK("http://gitlab.osmosys.co/incident-reporter/incident-reporter-angular-portal/-/merge_requests/3471", "feat: add due date and assigned status in tickets page")</f>
        <v/>
      </c>
      <c r="G64" t="inlineStr">
        <is>
          <t>feat/new-validated-status</t>
        </is>
      </c>
      <c r="H64" t="inlineStr">
        <is>
          <t>sprint-17</t>
        </is>
      </c>
      <c r="I64" t="inlineStr">
        <is>
          <t>merged</t>
        </is>
      </c>
      <c r="J64" t="inlineStr">
        <is>
          <t>70a6becbc217fac252bd52626c3c17a7738384d0</t>
        </is>
      </c>
      <c r="K64">
        <f>HYPERLINK("http://gitlab.osmosys.co/incident-reporter/incident-reporter-angular-portal/-/merge_requests/3471#note_238001", "fixed it")</f>
        <v/>
      </c>
      <c r="L64" t="inlineStr">
        <is>
          <t>2025-07-17 00:46:43.131 IST</t>
        </is>
      </c>
      <c r="M64" t="inlineStr">
        <is>
          <t>Nakshatra Bhatia</t>
        </is>
      </c>
      <c r="N64" t="inlineStr">
        <is>
          <t>No</t>
        </is>
      </c>
      <c r="O64" t="inlineStr">
        <is>
          <t>Yes</t>
        </is>
      </c>
      <c r="P64" t="inlineStr">
        <is>
          <t>Soundariya B</t>
        </is>
      </c>
      <c r="Q64" t="inlineStr">
        <is>
          <t>Bad</t>
        </is>
      </c>
    </row>
    <row r="65">
      <c r="A65" t="inlineStr">
        <is>
          <t>nakshatra.b</t>
        </is>
      </c>
      <c r="B65" t="inlineStr">
        <is>
          <t>Nakshatra Bhatia</t>
        </is>
      </c>
      <c r="C65" t="inlineStr">
        <is>
          <t>nakshatra.b@osmosys.co</t>
        </is>
      </c>
      <c r="D65" t="inlineStr">
        <is>
          <t>incident-reporter</t>
        </is>
      </c>
      <c r="E65">
        <f>HYPERLINK("http://gitlab.osmosys.co/incident-reporter/incident-reporter-angular-portal", "OQSHA Portal")</f>
        <v/>
      </c>
      <c r="F65">
        <f>HYPERLINK("http://gitlab.osmosys.co/incident-reporter/incident-reporter-angular-portal/-/merge_requests/3471", "feat: add due date and assigned status in tickets page")</f>
        <v/>
      </c>
      <c r="G65" t="inlineStr">
        <is>
          <t>feat/new-validated-status</t>
        </is>
      </c>
      <c r="H65" t="inlineStr">
        <is>
          <t>sprint-17</t>
        </is>
      </c>
      <c r="I65" t="inlineStr">
        <is>
          <t>merged</t>
        </is>
      </c>
      <c r="J65" t="inlineStr">
        <is>
          <t>3c473f335d49b2a516e136097631fa8a6392f731</t>
        </is>
      </c>
      <c r="K65">
        <f>HYPERLINK("http://gitlab.osmosys.co/incident-reporter/incident-reporter-angular-portal/-/merge_requests/3471#note_237941", "Hardcoded status value should get from constant file and use it")</f>
        <v/>
      </c>
      <c r="L65" t="inlineStr">
        <is>
          <t>2025-07-16 21:59:16.950 IST</t>
        </is>
      </c>
      <c r="M65" t="inlineStr">
        <is>
          <t>Soundariya B</t>
        </is>
      </c>
      <c r="N65" t="inlineStr">
        <is>
          <t>Yes</t>
        </is>
      </c>
      <c r="O65" t="inlineStr">
        <is>
          <t>Yes</t>
        </is>
      </c>
      <c r="P65" t="inlineStr">
        <is>
          <t>Soundariya B</t>
        </is>
      </c>
      <c r="Q65" t="inlineStr">
        <is>
          <t>Bad</t>
        </is>
      </c>
    </row>
    <row r="66">
      <c r="A66" t="inlineStr">
        <is>
          <t>nakshatra.b</t>
        </is>
      </c>
      <c r="B66" t="inlineStr">
        <is>
          <t>Nakshatra Bhatia</t>
        </is>
      </c>
      <c r="C66" t="inlineStr">
        <is>
          <t>nakshatra.b@osmosys.co</t>
        </is>
      </c>
      <c r="D66" t="inlineStr">
        <is>
          <t>incident-reporter</t>
        </is>
      </c>
      <c r="E66">
        <f>HYPERLINK("http://gitlab.osmosys.co/incident-reporter/incident-reporter-angular-portal", "OQSHA Portal")</f>
        <v/>
      </c>
      <c r="F66">
        <f>HYPERLINK("http://gitlab.osmosys.co/incident-reporter/incident-reporter-angular-portal/-/merge_requests/3471", "feat: add due date and assigned status in tickets page")</f>
        <v/>
      </c>
      <c r="G66" t="inlineStr">
        <is>
          <t>feat/new-validated-status</t>
        </is>
      </c>
      <c r="H66" t="inlineStr">
        <is>
          <t>sprint-17</t>
        </is>
      </c>
      <c r="I66" t="inlineStr">
        <is>
          <t>merged</t>
        </is>
      </c>
      <c r="J66" t="inlineStr">
        <is>
          <t>bb031cc513149d374b09b8e5cf2d98f19b5dcf9a</t>
        </is>
      </c>
      <c r="K66">
        <f>HYPERLINK("http://gitlab.osmosys.co/incident-reporter/incident-reporter-angular-portal/-/merge_requests/3471#note_237942", "Remove this")</f>
        <v/>
      </c>
      <c r="L66" t="inlineStr">
        <is>
          <t>2025-07-16 21:59:17.053 IST</t>
        </is>
      </c>
      <c r="M66" t="inlineStr">
        <is>
          <t>Soundariya B</t>
        </is>
      </c>
      <c r="N66" t="inlineStr">
        <is>
          <t>Yes</t>
        </is>
      </c>
      <c r="O66" t="inlineStr">
        <is>
          <t>Yes</t>
        </is>
      </c>
      <c r="P66" t="inlineStr">
        <is>
          <t>Soundariya B</t>
        </is>
      </c>
      <c r="Q66" t="inlineStr">
        <is>
          <t>Bad</t>
        </is>
      </c>
    </row>
    <row r="67">
      <c r="A67" t="inlineStr">
        <is>
          <t>nakshatra.b</t>
        </is>
      </c>
      <c r="B67" t="inlineStr">
        <is>
          <t>Nakshatra Bhatia</t>
        </is>
      </c>
      <c r="C67" t="inlineStr">
        <is>
          <t>nakshatra.b@osmosys.co</t>
        </is>
      </c>
      <c r="D67" t="inlineStr">
        <is>
          <t>incident-reporter</t>
        </is>
      </c>
      <c r="E67">
        <f>HYPERLINK("http://gitlab.osmosys.co/incident-reporter/incident-reporter-angular-portal", "OQSHA Portal")</f>
        <v/>
      </c>
      <c r="F67">
        <f>HYPERLINK("http://gitlab.osmosys.co/incident-reporter/incident-reporter-angular-portal/-/merge_requests/3471", "feat: add due date and assigned status in tickets page")</f>
        <v/>
      </c>
      <c r="G67" t="inlineStr">
        <is>
          <t>feat/new-validated-status</t>
        </is>
      </c>
      <c r="H67" t="inlineStr">
        <is>
          <t>sprint-17</t>
        </is>
      </c>
      <c r="I67" t="inlineStr">
        <is>
          <t>merged</t>
        </is>
      </c>
      <c r="J67" t="inlineStr">
        <is>
          <t>3ab3c7ba4792d66c301d0c55e6601da1baf7ac16</t>
        </is>
      </c>
      <c r="K67">
        <f>HYPERLINK("http://gitlab.osmosys.co/incident-reporter/incident-reporter-angular-portal/-/merge_requests/3471#note_237943", "There is no check for this, like res is there or not")</f>
        <v/>
      </c>
      <c r="L67" t="inlineStr">
        <is>
          <t>2025-07-16 21:59:17.106 IST</t>
        </is>
      </c>
      <c r="M67" t="inlineStr">
        <is>
          <t>Soundariya B</t>
        </is>
      </c>
      <c r="N67" t="inlineStr">
        <is>
          <t>Yes</t>
        </is>
      </c>
      <c r="O67" t="inlineStr">
        <is>
          <t>Yes</t>
        </is>
      </c>
      <c r="P67" t="inlineStr">
        <is>
          <t>Soundariya B</t>
        </is>
      </c>
      <c r="Q67" t="inlineStr">
        <is>
          <t>Bad</t>
        </is>
      </c>
    </row>
    <row r="68">
      <c r="A68" t="inlineStr">
        <is>
          <t>nakshatra.b</t>
        </is>
      </c>
      <c r="B68" t="inlineStr">
        <is>
          <t>Nakshatra Bhatia</t>
        </is>
      </c>
      <c r="C68" t="inlineStr">
        <is>
          <t>nakshatra.b@osmosys.co</t>
        </is>
      </c>
      <c r="D68" t="inlineStr">
        <is>
          <t>incident-reporter</t>
        </is>
      </c>
      <c r="E68">
        <f>HYPERLINK("http://gitlab.osmosys.co/incident-reporter/incident-reporter-angular-portal", "OQSHA Portal")</f>
        <v/>
      </c>
      <c r="F68">
        <f>HYPERLINK("http://gitlab.osmosys.co/incident-reporter/incident-reporter-angular-portal/-/merge_requests/3471", "feat: add due date and assigned status in tickets page")</f>
        <v/>
      </c>
      <c r="G68" t="inlineStr">
        <is>
          <t>feat/new-validated-status</t>
        </is>
      </c>
      <c r="H68" t="inlineStr">
        <is>
          <t>sprint-17</t>
        </is>
      </c>
      <c r="I68" t="inlineStr">
        <is>
          <t>merged</t>
        </is>
      </c>
      <c r="J68" t="inlineStr">
        <is>
          <t>060ce36680fc58643f650b0fbe810946c3d11fd6</t>
        </is>
      </c>
      <c r="K68">
        <f>HYPERLINK("http://gitlab.osmosys.co/incident-reporter/incident-reporter-angular-portal/-/merge_requests/3471#note_237944", "Same here")</f>
        <v/>
      </c>
      <c r="L68" t="inlineStr">
        <is>
          <t>2025-07-16 21:59:17.192 IST</t>
        </is>
      </c>
      <c r="M68" t="inlineStr">
        <is>
          <t>Soundariya B</t>
        </is>
      </c>
      <c r="N68" t="inlineStr">
        <is>
          <t>Yes</t>
        </is>
      </c>
      <c r="O68" t="inlineStr">
        <is>
          <t>Yes</t>
        </is>
      </c>
      <c r="P68" t="inlineStr">
        <is>
          <t>Soundariya B</t>
        </is>
      </c>
      <c r="Q68" t="inlineStr">
        <is>
          <t>Bad</t>
        </is>
      </c>
    </row>
    <row r="69">
      <c r="A69" t="inlineStr">
        <is>
          <t>nakshatra.b</t>
        </is>
      </c>
      <c r="B69" t="inlineStr">
        <is>
          <t>Nakshatra Bhatia</t>
        </is>
      </c>
      <c r="C69" t="inlineStr">
        <is>
          <t>nakshatra.b@osmosys.co</t>
        </is>
      </c>
      <c r="D69" t="inlineStr">
        <is>
          <t>incident-reporter</t>
        </is>
      </c>
      <c r="E69">
        <f>HYPERLINK("http://gitlab.osmosys.co/incident-reporter/incident-reporter-angular-portal", "OQSHA Portal")</f>
        <v/>
      </c>
      <c r="F69">
        <f>HYPERLINK("http://gitlab.osmosys.co/incident-reporter/incident-reporter-angular-portal/-/merge_requests/3468", "feat: adjust edit pages navigation")</f>
        <v/>
      </c>
      <c r="G69" t="inlineStr">
        <is>
          <t>feat/modify-edit-page</t>
        </is>
      </c>
      <c r="H69" t="inlineStr">
        <is>
          <t>sprint-17</t>
        </is>
      </c>
      <c r="I69" t="inlineStr">
        <is>
          <t>merged</t>
        </is>
      </c>
      <c r="J69" t="inlineStr">
        <is>
          <t>ca4f34d8780c2bab953bd9f58360e68aa1f49bd1</t>
        </is>
      </c>
      <c r="K69">
        <f>HYPERLINK("http://gitlab.osmosys.co/incident-reporter/incident-reporter-angular-portal/-/merge_requests/3468#note_237755", "Why here using navigateByUrl? Why its not doing same like other place you are navigating?")</f>
        <v/>
      </c>
      <c r="L69" t="inlineStr">
        <is>
          <t>2025-07-16 17:39:12.761 IST</t>
        </is>
      </c>
      <c r="M69" t="inlineStr">
        <is>
          <t>Soundariya B</t>
        </is>
      </c>
      <c r="N69" t="inlineStr">
        <is>
          <t>Yes</t>
        </is>
      </c>
      <c r="O69" t="inlineStr">
        <is>
          <t>Yes</t>
        </is>
      </c>
      <c r="P69" t="inlineStr">
        <is>
          <t>Soundariya B</t>
        </is>
      </c>
      <c r="Q69" t="inlineStr">
        <is>
          <t>Bad</t>
        </is>
      </c>
    </row>
    <row r="70">
      <c r="A70" t="inlineStr">
        <is>
          <t>nakshatra.b</t>
        </is>
      </c>
      <c r="B70" t="inlineStr">
        <is>
          <t>Nakshatra Bhatia</t>
        </is>
      </c>
      <c r="C70" t="inlineStr">
        <is>
          <t>nakshatra.b@osmosys.co</t>
        </is>
      </c>
      <c r="D70" t="inlineStr">
        <is>
          <t>incident-reporter</t>
        </is>
      </c>
      <c r="E70">
        <f>HYPERLINK("http://gitlab.osmosys.co/incident-reporter/incident-reporter-angular-portal", "OQSHA Portal")</f>
        <v/>
      </c>
      <c r="F70">
        <f>HYPERLINK("http://gitlab.osmosys.co/incident-reporter/incident-reporter-angular-portal/-/merge_requests/3468", "feat: adjust edit pages navigation")</f>
        <v/>
      </c>
      <c r="G70" t="inlineStr">
        <is>
          <t>feat/modify-edit-page</t>
        </is>
      </c>
      <c r="H70" t="inlineStr">
        <is>
          <t>sprint-17</t>
        </is>
      </c>
      <c r="I70" t="inlineStr">
        <is>
          <t>merged</t>
        </is>
      </c>
      <c r="J70" t="inlineStr">
        <is>
          <t>ca4f34d8780c2bab953bd9f58360e68aa1f49bd1</t>
        </is>
      </c>
      <c r="K70">
        <f>HYPERLINK("http://gitlab.osmosys.co/incident-reporter/incident-reporter-angular-portal/-/merge_requests/3468#note_237821", "fixed it")</f>
        <v/>
      </c>
      <c r="L70" t="inlineStr">
        <is>
          <t>2025-07-16 18:02:24.849 IST</t>
        </is>
      </c>
      <c r="M70" t="inlineStr">
        <is>
          <t>Nakshatra Bhatia</t>
        </is>
      </c>
      <c r="N70" t="inlineStr">
        <is>
          <t>No</t>
        </is>
      </c>
      <c r="O70" t="inlineStr">
        <is>
          <t>Yes</t>
        </is>
      </c>
      <c r="P70" t="inlineStr">
        <is>
          <t>Soundariya B</t>
        </is>
      </c>
      <c r="Q70" t="inlineStr">
        <is>
          <t>Bad</t>
        </is>
      </c>
    </row>
    <row r="71">
      <c r="A71" t="inlineStr">
        <is>
          <t>nakshatra.b</t>
        </is>
      </c>
      <c r="B71" t="inlineStr">
        <is>
          <t>Nakshatra Bhatia</t>
        </is>
      </c>
      <c r="C71" t="inlineStr">
        <is>
          <t>nakshatra.b@osmosys.co</t>
        </is>
      </c>
      <c r="D71" t="inlineStr">
        <is>
          <t>incident-reporter</t>
        </is>
      </c>
      <c r="E71">
        <f>HYPERLINK("http://gitlab.osmosys.co/incident-reporter/incident-reporter-angular-portal", "OQSHA Portal")</f>
        <v/>
      </c>
      <c r="F71">
        <f>HYPERLINK("http://gitlab.osmosys.co/incident-reporter/incident-reporter-angular-portal/-/merge_requests/3468", "feat: adjust edit pages navigation")</f>
        <v/>
      </c>
      <c r="G71" t="inlineStr">
        <is>
          <t>feat/modify-edit-page</t>
        </is>
      </c>
      <c r="H71" t="inlineStr">
        <is>
          <t>sprint-17</t>
        </is>
      </c>
      <c r="I71" t="inlineStr">
        <is>
          <t>merged</t>
        </is>
      </c>
      <c r="J71" t="inlineStr">
        <is>
          <t>ca4f34d8780c2bab953bd9f58360e68aa1f49bd1</t>
        </is>
      </c>
      <c r="K71">
        <f>HYPERLINK("http://gitlab.osmosys.co/incident-reporter/incident-reporter-angular-portal/-/merge_requests/3468#note_237861", "Tested it too working fine.")</f>
        <v/>
      </c>
      <c r="L71" t="inlineStr">
        <is>
          <t>2025-07-16 18:31:17.293 IST</t>
        </is>
      </c>
      <c r="M71" t="inlineStr">
        <is>
          <t>Nakshatra Bhatia</t>
        </is>
      </c>
      <c r="N71" t="inlineStr">
        <is>
          <t>No</t>
        </is>
      </c>
      <c r="O71" t="inlineStr">
        <is>
          <t>Yes</t>
        </is>
      </c>
      <c r="P71" t="inlineStr">
        <is>
          <t>Soundariya B</t>
        </is>
      </c>
      <c r="Q71" t="inlineStr">
        <is>
          <t>Bad</t>
        </is>
      </c>
    </row>
    <row r="72">
      <c r="A72" t="inlineStr">
        <is>
          <t>nakshatra.b</t>
        </is>
      </c>
      <c r="B72" t="inlineStr">
        <is>
          <t>Nakshatra Bhatia</t>
        </is>
      </c>
      <c r="C72" t="inlineStr">
        <is>
          <t>nakshatra.b@osmosys.co</t>
        </is>
      </c>
      <c r="D72" t="inlineStr">
        <is>
          <t>incident-reporter</t>
        </is>
      </c>
      <c r="E72">
        <f>HYPERLINK("http://gitlab.osmosys.co/incident-reporter/incident-reporter-angular-portal", "OQSHA Portal")</f>
        <v/>
      </c>
      <c r="F72">
        <f>HYPERLINK("http://gitlab.osmosys.co/incident-reporter/incident-reporter-angular-portal/-/merge_requests/3468", "feat: adjust edit pages navigation")</f>
        <v/>
      </c>
      <c r="G72" t="inlineStr">
        <is>
          <t>feat/modify-edit-page</t>
        </is>
      </c>
      <c r="H72" t="inlineStr">
        <is>
          <t>sprint-17</t>
        </is>
      </c>
      <c r="I72" t="inlineStr">
        <is>
          <t>merged</t>
        </is>
      </c>
      <c r="J72" t="inlineStr">
        <is>
          <t>798c327ee7e1a5295f2152655ff9102b835d0296</t>
        </is>
      </c>
      <c r="K72">
        <f>HYPERLINK("http://gitlab.osmosys.co/incident-reporter/incident-reporter-angular-portal/-/merge_requests/3468#note_237756", "Can you use navigation code or logic at bottom after if else as in both block its using same?")</f>
        <v/>
      </c>
      <c r="L72" t="inlineStr">
        <is>
          <t>2025-07-16 17:39:12.860 IST</t>
        </is>
      </c>
      <c r="M72" t="inlineStr">
        <is>
          <t>Soundariya B</t>
        </is>
      </c>
      <c r="N72" t="inlineStr">
        <is>
          <t>Yes</t>
        </is>
      </c>
      <c r="O72" t="inlineStr">
        <is>
          <t>Yes</t>
        </is>
      </c>
      <c r="P72" t="inlineStr">
        <is>
          <t>Soundariya B</t>
        </is>
      </c>
      <c r="Q72" t="inlineStr">
        <is>
          <t>Bad</t>
        </is>
      </c>
    </row>
    <row r="73">
      <c r="A73" t="inlineStr">
        <is>
          <t>nakshatra.b</t>
        </is>
      </c>
      <c r="B73" t="inlineStr">
        <is>
          <t>Nakshatra Bhatia</t>
        </is>
      </c>
      <c r="C73" t="inlineStr">
        <is>
          <t>nakshatra.b@osmosys.co</t>
        </is>
      </c>
      <c r="D73" t="inlineStr">
        <is>
          <t>incident-reporter</t>
        </is>
      </c>
      <c r="E73">
        <f>HYPERLINK("http://gitlab.osmosys.co/incident-reporter/incident-reporter-angular-portal", "OQSHA Portal")</f>
        <v/>
      </c>
      <c r="F73">
        <f>HYPERLINK("http://gitlab.osmosys.co/incident-reporter/incident-reporter-angular-portal/-/merge_requests/3468", "feat: adjust edit pages navigation")</f>
        <v/>
      </c>
      <c r="G73" t="inlineStr">
        <is>
          <t>feat/modify-edit-page</t>
        </is>
      </c>
      <c r="H73" t="inlineStr">
        <is>
          <t>sprint-17</t>
        </is>
      </c>
      <c r="I73" t="inlineStr">
        <is>
          <t>merged</t>
        </is>
      </c>
      <c r="J73" t="inlineStr">
        <is>
          <t>798c327ee7e1a5295f2152655ff9102b835d0296</t>
        </is>
      </c>
      <c r="K73">
        <f>HYPERLINK("http://gitlab.osmosys.co/incident-reporter/incident-reporter-angular-portal/-/merge_requests/3468#note_237820", "fixed it")</f>
        <v/>
      </c>
      <c r="L73" t="inlineStr">
        <is>
          <t>2025-07-16 18:02:13.520 IST</t>
        </is>
      </c>
      <c r="M73" t="inlineStr">
        <is>
          <t>Nakshatra Bhatia</t>
        </is>
      </c>
      <c r="N73" t="inlineStr">
        <is>
          <t>No</t>
        </is>
      </c>
      <c r="O73" t="inlineStr">
        <is>
          <t>Yes</t>
        </is>
      </c>
      <c r="P73" t="inlineStr">
        <is>
          <t>Soundariya B</t>
        </is>
      </c>
      <c r="Q73" t="inlineStr">
        <is>
          <t>Bad</t>
        </is>
      </c>
    </row>
    <row r="74">
      <c r="A74" t="inlineStr">
        <is>
          <t>nakshatra.b</t>
        </is>
      </c>
      <c r="B74" t="inlineStr">
        <is>
          <t>Nakshatra Bhatia</t>
        </is>
      </c>
      <c r="C74" t="inlineStr">
        <is>
          <t>nakshatra.b@osmosys.co</t>
        </is>
      </c>
      <c r="D74" t="inlineStr">
        <is>
          <t>incident-reporter</t>
        </is>
      </c>
      <c r="E74">
        <f>HYPERLINK("http://gitlab.osmosys.co/incident-reporter/incident-reporter-angular-portal", "OQSHA Portal")</f>
        <v/>
      </c>
      <c r="F74">
        <f>HYPERLINK("http://gitlab.osmosys.co/incident-reporter/incident-reporter-angular-portal/-/merge_requests/3468", "feat: adjust edit pages navigation")</f>
        <v/>
      </c>
      <c r="G74" t="inlineStr">
        <is>
          <t>feat/modify-edit-page</t>
        </is>
      </c>
      <c r="H74" t="inlineStr">
        <is>
          <t>sprint-17</t>
        </is>
      </c>
      <c r="I74" t="inlineStr">
        <is>
          <t>merged</t>
        </is>
      </c>
      <c r="J74" t="inlineStr">
        <is>
          <t>21b61e215102656e298112b43e4ae8e3e518a298</t>
        </is>
      </c>
      <c r="K74">
        <f>HYPERLINK("http://gitlab.osmosys.co/incident-reporter/incident-reporter-angular-portal/-/merge_requests/3468#note_237757", "Same question here as mentioned above for navigateByUrl")</f>
        <v/>
      </c>
      <c r="L74" t="inlineStr">
        <is>
          <t>2025-07-16 17:39:12.924 IST</t>
        </is>
      </c>
      <c r="M74" t="inlineStr">
        <is>
          <t>Soundariya B</t>
        </is>
      </c>
      <c r="N74" t="inlineStr">
        <is>
          <t>Yes</t>
        </is>
      </c>
      <c r="O74" t="inlineStr">
        <is>
          <t>Yes</t>
        </is>
      </c>
      <c r="P74" t="inlineStr">
        <is>
          <t>Soundariya B</t>
        </is>
      </c>
      <c r="Q74" t="inlineStr">
        <is>
          <t>Bad</t>
        </is>
      </c>
    </row>
    <row r="75">
      <c r="A75" t="inlineStr">
        <is>
          <t>nakshatra.b</t>
        </is>
      </c>
      <c r="B75" t="inlineStr">
        <is>
          <t>Nakshatra Bhatia</t>
        </is>
      </c>
      <c r="C75" t="inlineStr">
        <is>
          <t>nakshatra.b@osmosys.co</t>
        </is>
      </c>
      <c r="D75" t="inlineStr">
        <is>
          <t>incident-reporter</t>
        </is>
      </c>
      <c r="E75">
        <f>HYPERLINK("http://gitlab.osmosys.co/incident-reporter/incident-reporter-angular-portal", "OQSHA Portal")</f>
        <v/>
      </c>
      <c r="F75">
        <f>HYPERLINK("http://gitlab.osmosys.co/incident-reporter/incident-reporter-angular-portal/-/merge_requests/3468", "feat: adjust edit pages navigation")</f>
        <v/>
      </c>
      <c r="G75" t="inlineStr">
        <is>
          <t>feat/modify-edit-page</t>
        </is>
      </c>
      <c r="H75" t="inlineStr">
        <is>
          <t>sprint-17</t>
        </is>
      </c>
      <c r="I75" t="inlineStr">
        <is>
          <t>merged</t>
        </is>
      </c>
      <c r="J75" t="inlineStr">
        <is>
          <t>1181dad99f997d0d866f5326ab471726b472ebb9</t>
        </is>
      </c>
      <c r="K75">
        <f>HYPERLINK("http://gitlab.osmosys.co/incident-reporter/incident-reporter-angular-portal/-/merge_requests/3468#note_237758", "What type of code here using? I never seen this before")</f>
        <v/>
      </c>
      <c r="L75" t="inlineStr">
        <is>
          <t>2025-07-16 17:39:13.010 IST</t>
        </is>
      </c>
      <c r="M75" t="inlineStr">
        <is>
          <t>Soundariya B</t>
        </is>
      </c>
      <c r="N75" t="inlineStr">
        <is>
          <t>Yes</t>
        </is>
      </c>
      <c r="O75" t="inlineStr">
        <is>
          <t>Yes</t>
        </is>
      </c>
      <c r="P75" t="inlineStr">
        <is>
          <t>Soundariya B</t>
        </is>
      </c>
      <c r="Q75" t="inlineStr">
        <is>
          <t>Neutral</t>
        </is>
      </c>
    </row>
    <row r="76">
      <c r="A76" t="inlineStr">
        <is>
          <t>nakshatra.b</t>
        </is>
      </c>
      <c r="B76" t="inlineStr">
        <is>
          <t>Nakshatra Bhatia</t>
        </is>
      </c>
      <c r="C76" t="inlineStr">
        <is>
          <t>nakshatra.b@osmosys.co</t>
        </is>
      </c>
      <c r="D76" t="inlineStr">
        <is>
          <t>incident-reporter</t>
        </is>
      </c>
      <c r="E76">
        <f>HYPERLINK("http://gitlab.osmosys.co/incident-reporter/incident-reporter-angular-portal", "OQSHA Portal")</f>
        <v/>
      </c>
      <c r="F76">
        <f>HYPERLINK("http://gitlab.osmosys.co/incident-reporter/incident-reporter-angular-portal/-/merge_requests/3468", "feat: adjust edit pages navigation")</f>
        <v/>
      </c>
      <c r="G76" t="inlineStr">
        <is>
          <t>feat/modify-edit-page</t>
        </is>
      </c>
      <c r="H76" t="inlineStr">
        <is>
          <t>sprint-17</t>
        </is>
      </c>
      <c r="I76" t="inlineStr">
        <is>
          <t>merged</t>
        </is>
      </c>
      <c r="J76" t="inlineStr">
        <is>
          <t>1181dad99f997d0d866f5326ab471726b472ebb9</t>
        </is>
      </c>
      <c r="K76">
        <f>HYPERLINK("http://gitlab.osmosys.co/incident-reporter/incident-reporter-angular-portal/-/merge_requests/3468#note_237786", "It's not written by me it is getting highlighted because oflint fix using Prettier command.")</f>
        <v/>
      </c>
      <c r="L76" t="inlineStr">
        <is>
          <t>2025-07-16 17:51:25.393 IST</t>
        </is>
      </c>
      <c r="M76" t="inlineStr">
        <is>
          <t>Nakshatra Bhatia</t>
        </is>
      </c>
      <c r="N76" t="inlineStr">
        <is>
          <t>No</t>
        </is>
      </c>
      <c r="O76" t="inlineStr">
        <is>
          <t>Yes</t>
        </is>
      </c>
      <c r="P76" t="inlineStr">
        <is>
          <t>Soundariya B</t>
        </is>
      </c>
      <c r="Q76" t="inlineStr">
        <is>
          <t>Neutral</t>
        </is>
      </c>
    </row>
    <row r="77">
      <c r="A77" t="inlineStr">
        <is>
          <t>nakshatra.b</t>
        </is>
      </c>
      <c r="B77" t="inlineStr">
        <is>
          <t>Nakshatra Bhatia</t>
        </is>
      </c>
      <c r="C77" t="inlineStr">
        <is>
          <t>nakshatra.b@osmosys.co</t>
        </is>
      </c>
      <c r="D77" t="inlineStr">
        <is>
          <t>incident-reporter</t>
        </is>
      </c>
      <c r="E77">
        <f>HYPERLINK("http://gitlab.osmosys.co/incident-reporter/incident-reporter-angular-portal", "OQSHA Portal")</f>
        <v/>
      </c>
      <c r="F77">
        <f>HYPERLINK("http://gitlab.osmosys.co/incident-reporter/incident-reporter-angular-portal/-/merge_requests/3468", "feat: adjust edit pages navigation")</f>
        <v/>
      </c>
      <c r="G77" t="inlineStr">
        <is>
          <t>feat/modify-edit-page</t>
        </is>
      </c>
      <c r="H77" t="inlineStr">
        <is>
          <t>sprint-17</t>
        </is>
      </c>
      <c r="I77" t="inlineStr">
        <is>
          <t>merged</t>
        </is>
      </c>
      <c r="J77" t="inlineStr">
        <is>
          <t>1181dad99f997d0d866f5326ab471726b472ebb9</t>
        </is>
      </c>
      <c r="K77">
        <f>HYPERLINK("http://gitlab.osmosys.co/incident-reporter/incident-reporter-angular-portal/-/merge_requests/3468#note_237831", "As per GPT, we need to subscribe to execute the Rxjs chain.
- map() transforms data
- tap() performs side-effects like variable updates
- subscribe() is still required to execute the chain")</f>
        <v/>
      </c>
      <c r="L77" t="inlineStr">
        <is>
          <t>2025-07-16 18:13:05.919 IST</t>
        </is>
      </c>
      <c r="M77" t="inlineStr">
        <is>
          <t>Nakshatra Bhatia</t>
        </is>
      </c>
      <c r="N77" t="inlineStr">
        <is>
          <t>No</t>
        </is>
      </c>
      <c r="O77" t="inlineStr">
        <is>
          <t>Yes</t>
        </is>
      </c>
      <c r="P77" t="inlineStr">
        <is>
          <t>Soundariya B</t>
        </is>
      </c>
      <c r="Q77" t="inlineStr">
        <is>
          <t>Neutral</t>
        </is>
      </c>
    </row>
    <row r="78">
      <c r="A78" t="inlineStr">
        <is>
          <t>nakshatra.b</t>
        </is>
      </c>
      <c r="B78" t="inlineStr">
        <is>
          <t>Nakshatra Bhatia</t>
        </is>
      </c>
      <c r="C78" t="inlineStr">
        <is>
          <t>nakshatra.b@osmosys.co</t>
        </is>
      </c>
      <c r="D78" t="inlineStr">
        <is>
          <t>incident-reporter</t>
        </is>
      </c>
      <c r="E78">
        <f>HYPERLINK("http://gitlab.osmosys.co/incident-reporter/incident-reporter-angular-portal", "OQSHA Portal")</f>
        <v/>
      </c>
      <c r="F78">
        <f>HYPERLINK("http://gitlab.osmosys.co/incident-reporter/incident-reporter-angular-portal/-/merge_requests/3468", "feat: adjust edit pages navigation")</f>
        <v/>
      </c>
      <c r="G78" t="inlineStr">
        <is>
          <t>feat/modify-edit-page</t>
        </is>
      </c>
      <c r="H78" t="inlineStr">
        <is>
          <t>sprint-17</t>
        </is>
      </c>
      <c r="I78" t="inlineStr">
        <is>
          <t>merged</t>
        </is>
      </c>
      <c r="J78" t="inlineStr">
        <is>
          <t>9aac38f39b6e312e7eddaa7dbbf0ec1b28b2afe8</t>
        </is>
      </c>
      <c r="K78">
        <f>HYPERLINK("http://gitlab.osmosys.co/incident-reporter/incident-reporter-angular-portal/-/merge_requests/3468#note_237759", "Use parseInt with radix for conversion")</f>
        <v/>
      </c>
      <c r="L78" t="inlineStr">
        <is>
          <t>2025-07-16 17:39:13.096 IST</t>
        </is>
      </c>
      <c r="M78" t="inlineStr">
        <is>
          <t>Soundariya B</t>
        </is>
      </c>
      <c r="N78" t="inlineStr">
        <is>
          <t>Yes</t>
        </is>
      </c>
      <c r="O78" t="inlineStr">
        <is>
          <t>Yes</t>
        </is>
      </c>
      <c r="P78" t="inlineStr">
        <is>
          <t>Soundariya B</t>
        </is>
      </c>
      <c r="Q78" t="inlineStr">
        <is>
          <t>Bad</t>
        </is>
      </c>
    </row>
    <row r="79">
      <c r="A79" t="inlineStr">
        <is>
          <t>nakshatra.b</t>
        </is>
      </c>
      <c r="B79" t="inlineStr">
        <is>
          <t>Nakshatra Bhatia</t>
        </is>
      </c>
      <c r="C79" t="inlineStr">
        <is>
          <t>nakshatra.b@osmosys.co</t>
        </is>
      </c>
      <c r="D79" t="inlineStr">
        <is>
          <t>incident-reporter</t>
        </is>
      </c>
      <c r="E79">
        <f>HYPERLINK("http://gitlab.osmosys.co/incident-reporter/incident-reporter-angular-portal", "OQSHA Portal")</f>
        <v/>
      </c>
      <c r="F79">
        <f>HYPERLINK("http://gitlab.osmosys.co/incident-reporter/incident-reporter-angular-portal/-/merge_requests/3468", "feat: adjust edit pages navigation")</f>
        <v/>
      </c>
      <c r="G79" t="inlineStr">
        <is>
          <t>feat/modify-edit-page</t>
        </is>
      </c>
      <c r="H79" t="inlineStr">
        <is>
          <t>sprint-17</t>
        </is>
      </c>
      <c r="I79" t="inlineStr">
        <is>
          <t>merged</t>
        </is>
      </c>
      <c r="J79" t="inlineStr">
        <is>
          <t>9aac38f39b6e312e7eddaa7dbbf0ec1b28b2afe8</t>
        </is>
      </c>
      <c r="K79">
        <f>HYPERLINK("http://gitlab.osmosys.co/incident-reporter/incident-reporter-angular-portal/-/merge_requests/3468#note_237845", "this was also not added by me but fixed it as mentioned.")</f>
        <v/>
      </c>
      <c r="L79" t="inlineStr">
        <is>
          <t>2025-07-16 18:25:36.853 IST</t>
        </is>
      </c>
      <c r="M79" t="inlineStr">
        <is>
          <t>Nakshatra Bhatia</t>
        </is>
      </c>
      <c r="N79" t="inlineStr">
        <is>
          <t>No</t>
        </is>
      </c>
      <c r="O79" t="inlineStr">
        <is>
          <t>Yes</t>
        </is>
      </c>
      <c r="P79" t="inlineStr">
        <is>
          <t>Soundariya B</t>
        </is>
      </c>
      <c r="Q79" t="inlineStr">
        <is>
          <t>Bad</t>
        </is>
      </c>
    </row>
    <row r="80">
      <c r="A80" t="inlineStr">
        <is>
          <t>nakshatra.b</t>
        </is>
      </c>
      <c r="B80" t="inlineStr">
        <is>
          <t>Nakshatra Bhatia</t>
        </is>
      </c>
      <c r="C80" t="inlineStr">
        <is>
          <t>nakshatra.b@osmosys.co</t>
        </is>
      </c>
      <c r="D80" t="inlineStr">
        <is>
          <t>incident-reporter</t>
        </is>
      </c>
      <c r="E80">
        <f>HYPERLINK("http://gitlab.osmosys.co/incident-reporter/incident-reporter-angular-portal", "OQSHA Portal")</f>
        <v/>
      </c>
      <c r="F80">
        <f>HYPERLINK("http://gitlab.osmosys.co/incident-reporter/incident-reporter-angular-portal/-/merge_requests/3468", "feat: adjust edit pages navigation")</f>
        <v/>
      </c>
      <c r="G80" t="inlineStr">
        <is>
          <t>feat/modify-edit-page</t>
        </is>
      </c>
      <c r="H80" t="inlineStr">
        <is>
          <t>sprint-17</t>
        </is>
      </c>
      <c r="I80" t="inlineStr">
        <is>
          <t>merged</t>
        </is>
      </c>
      <c r="J80" t="inlineStr">
        <is>
          <t>b2bb6c70d2e5e246b18884ea8d3da96066923b02</t>
        </is>
      </c>
      <c r="K80">
        <f>HYPERLINK("http://gitlab.osmosys.co/incident-reporter/incident-reporter-angular-portal/-/merge_requests/3468#note_237760", "What is the navigation behavior for the add page? After submit add page then it will redirect to list page or stay at the same page?")</f>
        <v/>
      </c>
      <c r="L80" t="inlineStr">
        <is>
          <t>2025-07-16 17:39:13.141 IST</t>
        </is>
      </c>
      <c r="M80" t="inlineStr">
        <is>
          <t>Soundariya B</t>
        </is>
      </c>
      <c r="N80" t="inlineStr">
        <is>
          <t>Yes</t>
        </is>
      </c>
      <c r="O80" t="inlineStr">
        <is>
          <t>Yes</t>
        </is>
      </c>
      <c r="P80" t="inlineStr">
        <is>
          <t>Soundariya B</t>
        </is>
      </c>
      <c r="Q80" t="inlineStr">
        <is>
          <t>Neutral</t>
        </is>
      </c>
    </row>
    <row r="81">
      <c r="A81" t="inlineStr">
        <is>
          <t>nakshatra.b</t>
        </is>
      </c>
      <c r="B81" t="inlineStr">
        <is>
          <t>Nakshatra Bhatia</t>
        </is>
      </c>
      <c r="C81" t="inlineStr">
        <is>
          <t>nakshatra.b@osmosys.co</t>
        </is>
      </c>
      <c r="D81" t="inlineStr">
        <is>
          <t>incident-reporter</t>
        </is>
      </c>
      <c r="E81">
        <f>HYPERLINK("http://gitlab.osmosys.co/incident-reporter/incident-reporter-angular-portal", "OQSHA Portal")</f>
        <v/>
      </c>
      <c r="F81">
        <f>HYPERLINK("http://gitlab.osmosys.co/incident-reporter/incident-reporter-angular-portal/-/merge_requests/3468", "feat: adjust edit pages navigation")</f>
        <v/>
      </c>
      <c r="G81" t="inlineStr">
        <is>
          <t>feat/modify-edit-page</t>
        </is>
      </c>
      <c r="H81" t="inlineStr">
        <is>
          <t>sprint-17</t>
        </is>
      </c>
      <c r="I81" t="inlineStr">
        <is>
          <t>merged</t>
        </is>
      </c>
      <c r="J81" t="inlineStr">
        <is>
          <t>b2bb6c70d2e5e246b18884ea8d3da96066923b02</t>
        </is>
      </c>
      <c r="K81">
        <f>HYPERLINK("http://gitlab.osmosys.co/incident-reporter/incident-reporter-angular-portal/-/merge_requests/3468#note_237784", " For add pages we're redirecting to list page and for edit pages we're staying at same edit page.")</f>
        <v/>
      </c>
      <c r="L81" t="inlineStr">
        <is>
          <t>2025-07-16 17:49:59.201 IST</t>
        </is>
      </c>
      <c r="M81" t="inlineStr">
        <is>
          <t>Nakshatra Bhatia</t>
        </is>
      </c>
      <c r="N81" t="inlineStr">
        <is>
          <t>No</t>
        </is>
      </c>
      <c r="O81" t="inlineStr">
        <is>
          <t>Yes</t>
        </is>
      </c>
      <c r="P81" t="inlineStr">
        <is>
          <t>Soundariya B</t>
        </is>
      </c>
      <c r="Q81" t="inlineStr">
        <is>
          <t>Neutral</t>
        </is>
      </c>
    </row>
    <row r="82">
      <c r="A82" t="inlineStr">
        <is>
          <t>nakshatra.b</t>
        </is>
      </c>
      <c r="B82" t="inlineStr">
        <is>
          <t>Nakshatra Bhatia</t>
        </is>
      </c>
      <c r="C82" t="inlineStr">
        <is>
          <t>nakshatra.b@osmosys.co</t>
        </is>
      </c>
      <c r="D82" t="inlineStr">
        <is>
          <t>incident-reporter</t>
        </is>
      </c>
      <c r="E82">
        <f>HYPERLINK("http://gitlab.osmosys.co/incident-reporter/incident-reporter-angular-portal", "OQSHA Portal")</f>
        <v/>
      </c>
      <c r="F82">
        <f>HYPERLINK("http://gitlab.osmosys.co/incident-reporter/incident-reporter-angular-portal/-/merge_requests/3437", "fix: adjust note message position")</f>
        <v/>
      </c>
      <c r="G82" t="inlineStr">
        <is>
          <t>fix/note-message-position</t>
        </is>
      </c>
      <c r="H82" t="inlineStr">
        <is>
          <t>sprint-17</t>
        </is>
      </c>
      <c r="I82" t="inlineStr">
        <is>
          <t>merged</t>
        </is>
      </c>
      <c r="J82" t="inlineStr"/>
      <c r="K82" t="inlineStr"/>
      <c r="L82" t="inlineStr"/>
      <c r="M82" t="inlineStr"/>
      <c r="N82" t="inlineStr"/>
      <c r="O82" t="inlineStr"/>
      <c r="P82" t="inlineStr"/>
      <c r="Q82" t="inlineStr"/>
    </row>
    <row r="83">
      <c r="A83" t="inlineStr">
        <is>
          <t>nakshatra.b</t>
        </is>
      </c>
      <c r="B83" t="inlineStr">
        <is>
          <t>Nakshatra Bhatia</t>
        </is>
      </c>
      <c r="C83" t="inlineStr">
        <is>
          <t>nakshatra.b@osmosys.co</t>
        </is>
      </c>
      <c r="D83" t="inlineStr">
        <is>
          <t>incident-reporter</t>
        </is>
      </c>
      <c r="E83">
        <f>HYPERLINK("http://gitlab.osmosys.co/incident-reporter/incident-reporter-angular-portal", "OQSHA Portal")</f>
        <v/>
      </c>
      <c r="F83">
        <f>HYPERLINK("http://gitlab.osmosys.co/incident-reporter/incident-reporter-angular-portal/-/merge_requests/3413", "feat: add due date and assigned status in tickets page")</f>
        <v/>
      </c>
      <c r="G83" t="inlineStr">
        <is>
          <t>feat/duedate-status-tickets</t>
        </is>
      </c>
      <c r="H83" t="inlineStr">
        <is>
          <t>sprint-17</t>
        </is>
      </c>
      <c r="I83" t="inlineStr">
        <is>
          <t>closed</t>
        </is>
      </c>
      <c r="J83" t="inlineStr">
        <is>
          <t>512d7867a7ef76361a612261475e826b1643408b</t>
        </is>
      </c>
      <c r="K83">
        <f>HYPERLINK("http://gitlab.osmosys.co/incident-reporter/incident-reporter-angular-portal/-/merge_requests/3413#note_235159", "Why is this showing after adding a new ticket successfully? It is showing for few seconds with blank which is not good UX
![image.png](/uploads/0be6d178613c74e92434407be31a7dcc/image.png)")</f>
        <v/>
      </c>
      <c r="L83" t="inlineStr">
        <is>
          <t>2025-07-11 14:18:50.724 IST</t>
        </is>
      </c>
      <c r="M83" t="inlineStr">
        <is>
          <t>Soundariya B</t>
        </is>
      </c>
      <c r="N83" t="inlineStr">
        <is>
          <t>Yes</t>
        </is>
      </c>
      <c r="O83" t="inlineStr">
        <is>
          <t>Yes</t>
        </is>
      </c>
      <c r="P83" t="inlineStr">
        <is>
          <t>Soundariya B</t>
        </is>
      </c>
      <c r="Q83" t="inlineStr">
        <is>
          <t>Bad</t>
        </is>
      </c>
    </row>
    <row r="84">
      <c r="A84" t="inlineStr">
        <is>
          <t>nakshatra.b</t>
        </is>
      </c>
      <c r="B84" t="inlineStr">
        <is>
          <t>Nakshatra Bhatia</t>
        </is>
      </c>
      <c r="C84" t="inlineStr">
        <is>
          <t>nakshatra.b@osmosys.co</t>
        </is>
      </c>
      <c r="D84" t="inlineStr">
        <is>
          <t>incident-reporter</t>
        </is>
      </c>
      <c r="E84">
        <f>HYPERLINK("http://gitlab.osmosys.co/incident-reporter/incident-reporter-angular-portal", "OQSHA Portal")</f>
        <v/>
      </c>
      <c r="F84">
        <f>HYPERLINK("http://gitlab.osmosys.co/incident-reporter/incident-reporter-angular-portal/-/merge_requests/3413", "feat: add due date and assigned status in tickets page")</f>
        <v/>
      </c>
      <c r="G84" t="inlineStr">
        <is>
          <t>feat/duedate-status-tickets</t>
        </is>
      </c>
      <c r="H84" t="inlineStr">
        <is>
          <t>sprint-17</t>
        </is>
      </c>
      <c r="I84" t="inlineStr">
        <is>
          <t>closed</t>
        </is>
      </c>
      <c r="J84" t="inlineStr">
        <is>
          <t>512d7867a7ef76361a612261475e826b1643408b</t>
        </is>
      </c>
      <c r="K84">
        <f>HYPERLINK("http://gitlab.osmosys.co/incident-reporter/incident-reporter-angular-portal/-/merge_requests/3413#note_235190", "that's due to Settimeout call which is delaying the rendering here. I gave fix for it in INRB-2450")</f>
        <v/>
      </c>
      <c r="L84" t="inlineStr">
        <is>
          <t>2025-07-11 14:32:03.701 IST</t>
        </is>
      </c>
      <c r="M84" t="inlineStr">
        <is>
          <t>Nakshatra Bhatia</t>
        </is>
      </c>
      <c r="N84" t="inlineStr">
        <is>
          <t>No</t>
        </is>
      </c>
      <c r="O84" t="inlineStr">
        <is>
          <t>Yes</t>
        </is>
      </c>
      <c r="P84" t="inlineStr">
        <is>
          <t>Soundariya B</t>
        </is>
      </c>
      <c r="Q84" t="inlineStr">
        <is>
          <t>Bad</t>
        </is>
      </c>
    </row>
    <row r="85">
      <c r="A85" t="inlineStr">
        <is>
          <t>nakshatra.b</t>
        </is>
      </c>
      <c r="B85" t="inlineStr">
        <is>
          <t>Nakshatra Bhatia</t>
        </is>
      </c>
      <c r="C85" t="inlineStr">
        <is>
          <t>nakshatra.b@osmosys.co</t>
        </is>
      </c>
      <c r="D85" t="inlineStr">
        <is>
          <t>incident-reporter</t>
        </is>
      </c>
      <c r="E85">
        <f>HYPERLINK("http://gitlab.osmosys.co/incident-reporter/incident-reporter-angular-portal", "OQSHA Portal")</f>
        <v/>
      </c>
      <c r="F85">
        <f>HYPERLINK("http://gitlab.osmosys.co/incident-reporter/incident-reporter-angular-portal/-/merge_requests/3413", "feat: add due date and assigned status in tickets page")</f>
        <v/>
      </c>
      <c r="G85" t="inlineStr">
        <is>
          <t>feat/duedate-status-tickets</t>
        </is>
      </c>
      <c r="H85" t="inlineStr">
        <is>
          <t>sprint-17</t>
        </is>
      </c>
      <c r="I85" t="inlineStr">
        <is>
          <t>closed</t>
        </is>
      </c>
      <c r="J85" t="inlineStr">
        <is>
          <t>ef0755029a8b4ea7de5850cfcb7165ef3d65652a</t>
        </is>
      </c>
      <c r="K85">
        <f>HYPERLINK("http://gitlab.osmosys.co/incident-reporter/incident-reporter-angular-portal/-/merge_requests/3413#note_235160", "According to video attached - if user is in edit page and want to go back to link by using browser back button then he redirecting to add ticket page instead of ticket list page -- This is a bug")</f>
        <v/>
      </c>
      <c r="L85" t="inlineStr">
        <is>
          <t>2025-07-11 14:18:50.760 IST</t>
        </is>
      </c>
      <c r="M85" t="inlineStr">
        <is>
          <t>Soundariya B</t>
        </is>
      </c>
      <c r="N85" t="inlineStr">
        <is>
          <t>Yes</t>
        </is>
      </c>
      <c r="O85" t="inlineStr">
        <is>
          <t>Yes</t>
        </is>
      </c>
      <c r="P85" t="inlineStr">
        <is>
          <t>Soundariya B</t>
        </is>
      </c>
      <c r="Q85" t="inlineStr">
        <is>
          <t>Bad</t>
        </is>
      </c>
    </row>
    <row r="86">
      <c r="A86" t="inlineStr">
        <is>
          <t>nakshatra.b</t>
        </is>
      </c>
      <c r="B86" t="inlineStr">
        <is>
          <t>Nakshatra Bhatia</t>
        </is>
      </c>
      <c r="C86" t="inlineStr">
        <is>
          <t>nakshatra.b@osmosys.co</t>
        </is>
      </c>
      <c r="D86" t="inlineStr">
        <is>
          <t>incident-reporter</t>
        </is>
      </c>
      <c r="E86">
        <f>HYPERLINK("http://gitlab.osmosys.co/incident-reporter/incident-reporter-angular-portal", "OQSHA Portal")</f>
        <v/>
      </c>
      <c r="F86">
        <f>HYPERLINK("http://gitlab.osmosys.co/incident-reporter/incident-reporter-angular-portal/-/merge_requests/3413", "feat: add due date and assigned status in tickets page")</f>
        <v/>
      </c>
      <c r="G86" t="inlineStr">
        <is>
          <t>feat/duedate-status-tickets</t>
        </is>
      </c>
      <c r="H86" t="inlineStr">
        <is>
          <t>sprint-17</t>
        </is>
      </c>
      <c r="I86" t="inlineStr">
        <is>
          <t>closed</t>
        </is>
      </c>
      <c r="J86" t="inlineStr">
        <is>
          <t>ef0755029a8b4ea7de5850cfcb7165ef3d65652a</t>
        </is>
      </c>
      <c r="K86">
        <f>HYPERLINK("http://gitlab.osmosys.co/incident-reporter/incident-reporter-angular-portal/-/merge_requests/3413#note_235370", "yeah it is a bug. It occurs when we create a new ticket and then tries to go back with browser back button. I need to check since in another PR I am redirecting to list page. So maybe it gets fixed. Will confirm here")</f>
        <v/>
      </c>
      <c r="L86" t="inlineStr">
        <is>
          <t>2025-07-11 16:56:15.253 IST</t>
        </is>
      </c>
      <c r="M86" t="inlineStr">
        <is>
          <t>Nakshatra Bhatia</t>
        </is>
      </c>
      <c r="N86" t="inlineStr">
        <is>
          <t>No</t>
        </is>
      </c>
      <c r="O86" t="inlineStr">
        <is>
          <t>Yes</t>
        </is>
      </c>
      <c r="P86" t="inlineStr">
        <is>
          <t>Soundariya B</t>
        </is>
      </c>
      <c r="Q86" t="inlineStr">
        <is>
          <t>Bad</t>
        </is>
      </c>
    </row>
    <row r="87">
      <c r="A87" t="inlineStr">
        <is>
          <t>nakshatra.b</t>
        </is>
      </c>
      <c r="B87" t="inlineStr">
        <is>
          <t>Nakshatra Bhatia</t>
        </is>
      </c>
      <c r="C87" t="inlineStr">
        <is>
          <t>nakshatra.b@osmosys.co</t>
        </is>
      </c>
      <c r="D87" t="inlineStr">
        <is>
          <t>incident-reporter</t>
        </is>
      </c>
      <c r="E87">
        <f>HYPERLINK("http://gitlab.osmosys.co/incident-reporter/incident-reporter-angular-portal", "OQSHA Portal")</f>
        <v/>
      </c>
      <c r="F87">
        <f>HYPERLINK("http://gitlab.osmosys.co/incident-reporter/incident-reporter-angular-portal/-/merge_requests/3413", "feat: add due date and assigned status in tickets page")</f>
        <v/>
      </c>
      <c r="G87" t="inlineStr">
        <is>
          <t>feat/duedate-status-tickets</t>
        </is>
      </c>
      <c r="H87" t="inlineStr">
        <is>
          <t>sprint-17</t>
        </is>
      </c>
      <c r="I87" t="inlineStr">
        <is>
          <t>closed</t>
        </is>
      </c>
      <c r="J87" t="inlineStr">
        <is>
          <t>2ed1288f028c4cd62751b43d66160bfa08a8c4ad</t>
        </is>
      </c>
      <c r="K87">
        <f>HYPERLINK("http://gitlab.osmosys.co/incident-reporter/incident-reporter-angular-portal/-/merge_requests/3413#note_235161", "In ticket list page, the to date filter is blank which should not")</f>
        <v/>
      </c>
      <c r="L87" t="inlineStr">
        <is>
          <t>2025-07-11 14:18:50.787 IST</t>
        </is>
      </c>
      <c r="M87" t="inlineStr">
        <is>
          <t>Soundariya B</t>
        </is>
      </c>
      <c r="N87" t="inlineStr">
        <is>
          <t>Yes</t>
        </is>
      </c>
      <c r="O87" t="inlineStr">
        <is>
          <t>Yes</t>
        </is>
      </c>
      <c r="P87" t="inlineStr">
        <is>
          <t>Soundariya B</t>
        </is>
      </c>
      <c r="Q87" t="inlineStr">
        <is>
          <t>Neutral</t>
        </is>
      </c>
    </row>
    <row r="88">
      <c r="A88" t="inlineStr">
        <is>
          <t>nakshatra.b</t>
        </is>
      </c>
      <c r="B88" t="inlineStr">
        <is>
          <t>Nakshatra Bhatia</t>
        </is>
      </c>
      <c r="C88" t="inlineStr">
        <is>
          <t>nakshatra.b@osmosys.co</t>
        </is>
      </c>
      <c r="D88" t="inlineStr">
        <is>
          <t>incident-reporter</t>
        </is>
      </c>
      <c r="E88">
        <f>HYPERLINK("http://gitlab.osmosys.co/incident-reporter/incident-reporter-angular-portal", "OQSHA Portal")</f>
        <v/>
      </c>
      <c r="F88">
        <f>HYPERLINK("http://gitlab.osmosys.co/incident-reporter/incident-reporter-angular-portal/-/merge_requests/3413", "feat: add due date and assigned status in tickets page")</f>
        <v/>
      </c>
      <c r="G88" t="inlineStr">
        <is>
          <t>feat/duedate-status-tickets</t>
        </is>
      </c>
      <c r="H88" t="inlineStr">
        <is>
          <t>sprint-17</t>
        </is>
      </c>
      <c r="I88" t="inlineStr">
        <is>
          <t>closed</t>
        </is>
      </c>
      <c r="J88" t="inlineStr">
        <is>
          <t>2ed1288f028c4cd62751b43d66160bfa08a8c4ad</t>
        </is>
      </c>
      <c r="K88">
        <f>HYPERLINK("http://gitlab.osmosys.co/incident-reporter/incident-reporter-angular-portal/-/merge_requests/3413#note_235523", "it gets loaded, but little latesometimes")</f>
        <v/>
      </c>
      <c r="L88" t="inlineStr">
        <is>
          <t>2025-07-11 19:19:51.771 IST</t>
        </is>
      </c>
      <c r="M88" t="inlineStr">
        <is>
          <t>Nakshatra Bhatia</t>
        </is>
      </c>
      <c r="N88" t="inlineStr">
        <is>
          <t>No</t>
        </is>
      </c>
      <c r="O88" t="inlineStr">
        <is>
          <t>Yes</t>
        </is>
      </c>
      <c r="P88" t="inlineStr">
        <is>
          <t>Soundariya B</t>
        </is>
      </c>
      <c r="Q88" t="inlineStr">
        <is>
          <t>Neutral</t>
        </is>
      </c>
    </row>
    <row r="89">
      <c r="A89" t="inlineStr">
        <is>
          <t>nakshatra.b</t>
        </is>
      </c>
      <c r="B89" t="inlineStr">
        <is>
          <t>Nakshatra Bhatia</t>
        </is>
      </c>
      <c r="C89" t="inlineStr">
        <is>
          <t>nakshatra.b@osmosys.co</t>
        </is>
      </c>
      <c r="D89" t="inlineStr">
        <is>
          <t>incident-reporter</t>
        </is>
      </c>
      <c r="E89">
        <f>HYPERLINK("http://gitlab.osmosys.co/incident-reporter/incident-reporter-angular-portal", "OQSHA Portal")</f>
        <v/>
      </c>
      <c r="F89">
        <f>HYPERLINK("http://gitlab.osmosys.co/incident-reporter/incident-reporter-angular-portal/-/merge_requests/3413", "feat: add due date and assigned status in tickets page")</f>
        <v/>
      </c>
      <c r="G89" t="inlineStr">
        <is>
          <t>feat/duedate-status-tickets</t>
        </is>
      </c>
      <c r="H89" t="inlineStr">
        <is>
          <t>sprint-17</t>
        </is>
      </c>
      <c r="I89" t="inlineStr">
        <is>
          <t>closed</t>
        </is>
      </c>
      <c r="J89" t="inlineStr">
        <is>
          <t>fb8b7be5f45359def21f53d712f83d5dda55f541</t>
        </is>
      </c>
      <c r="K89">
        <f>HYPERLINK("http://gitlab.osmosys.co/incident-reporter/incident-reporter-angular-portal/-/merge_requests/3413#note_235162", "If you are changing the ticket stat as new status to Assigned then current status should also be change dynamically
After selected the status the placeholder will not be there then its bit confusing to user what is new status and why current status is not changed based on new status? There should be some label for new status if the requirement not to change the current status dynamically on select new status.
![image.png](/uploads/8b4b0a596cc4cc5d73533629d50f1ad9/image.png)")</f>
        <v/>
      </c>
      <c r="L89" t="inlineStr">
        <is>
          <t>2025-07-11 14:18:50.809 IST</t>
        </is>
      </c>
      <c r="M89" t="inlineStr">
        <is>
          <t>Soundariya B</t>
        </is>
      </c>
      <c r="N89" t="inlineStr">
        <is>
          <t>Yes</t>
        </is>
      </c>
      <c r="O89" t="inlineStr">
        <is>
          <t>Yes</t>
        </is>
      </c>
      <c r="P89" t="inlineStr">
        <is>
          <t>Soundariya B</t>
        </is>
      </c>
      <c r="Q89" t="inlineStr">
        <is>
          <t>Good</t>
        </is>
      </c>
    </row>
    <row r="90">
      <c r="A90" t="inlineStr">
        <is>
          <t>nakshatra.b</t>
        </is>
      </c>
      <c r="B90" t="inlineStr">
        <is>
          <t>Nakshatra Bhatia</t>
        </is>
      </c>
      <c r="C90" t="inlineStr">
        <is>
          <t>nakshatra.b@osmosys.co</t>
        </is>
      </c>
      <c r="D90" t="inlineStr">
        <is>
          <t>incident-reporter</t>
        </is>
      </c>
      <c r="E90">
        <f>HYPERLINK("http://gitlab.osmosys.co/incident-reporter/incident-reporter-angular-portal", "OQSHA Portal")</f>
        <v/>
      </c>
      <c r="F90">
        <f>HYPERLINK("http://gitlab.osmosys.co/incident-reporter/incident-reporter-angular-portal/-/merge_requests/3413", "feat: add due date and assigned status in tickets page")</f>
        <v/>
      </c>
      <c r="G90" t="inlineStr">
        <is>
          <t>feat/duedate-status-tickets</t>
        </is>
      </c>
      <c r="H90" t="inlineStr">
        <is>
          <t>sprint-17</t>
        </is>
      </c>
      <c r="I90" t="inlineStr">
        <is>
          <t>closed</t>
        </is>
      </c>
      <c r="J90" t="inlineStr">
        <is>
          <t>fb8b7be5f45359def21f53d712f83d5dda55f541</t>
        </is>
      </c>
      <c r="K90">
        <f>HYPERLINK("http://gitlab.osmosys.co/incident-reporter/incident-reporter-angular-portal/-/merge_requests/3413#note_235357", "okay made this dynamic too. Handled it as mentioned.")</f>
        <v/>
      </c>
      <c r="L90" t="inlineStr">
        <is>
          <t>2025-07-11 16:50:04.162 IST</t>
        </is>
      </c>
      <c r="M90" t="inlineStr">
        <is>
          <t>Nakshatra Bhatia</t>
        </is>
      </c>
      <c r="N90" t="inlineStr">
        <is>
          <t>No</t>
        </is>
      </c>
      <c r="O90" t="inlineStr">
        <is>
          <t>Yes</t>
        </is>
      </c>
      <c r="P90" t="inlineStr">
        <is>
          <t>Soundariya B</t>
        </is>
      </c>
      <c r="Q90" t="inlineStr">
        <is>
          <t>Good</t>
        </is>
      </c>
    </row>
    <row r="91">
      <c r="A91" t="inlineStr">
        <is>
          <t>nakshatra.b</t>
        </is>
      </c>
      <c r="B91" t="inlineStr">
        <is>
          <t>Nakshatra Bhatia</t>
        </is>
      </c>
      <c r="C91" t="inlineStr">
        <is>
          <t>nakshatra.b@osmosys.co</t>
        </is>
      </c>
      <c r="D91" t="inlineStr">
        <is>
          <t>incident-reporter</t>
        </is>
      </c>
      <c r="E91">
        <f>HYPERLINK("http://gitlab.osmosys.co/incident-reporter/incident-reporter-angular-portal", "OQSHA Portal")</f>
        <v/>
      </c>
      <c r="F91">
        <f>HYPERLINK("http://gitlab.osmosys.co/incident-reporter/incident-reporter-angular-portal/-/merge_requests/3413", "feat: add due date and assigned status in tickets page")</f>
        <v/>
      </c>
      <c r="G91" t="inlineStr">
        <is>
          <t>feat/duedate-status-tickets</t>
        </is>
      </c>
      <c r="H91" t="inlineStr">
        <is>
          <t>sprint-17</t>
        </is>
      </c>
      <c r="I91" t="inlineStr">
        <is>
          <t>closed</t>
        </is>
      </c>
      <c r="J91" t="inlineStr">
        <is>
          <t>aa83966eb2b207633660328efd5ae0a0221a5b03</t>
        </is>
      </c>
      <c r="K91">
        <f>HYPERLINK("http://gitlab.osmosys.co/incident-reporter/incident-reporter-angular-portal/-/merge_requests/3413#note_235163", "As we have for both field for due date - date and time so the label should be Due date &amp; time and also in the grid as well as currently showing only date not time. any reason why?
![image.png](/uploads/72f652b7d44c45401739690e75c9dcf0/image.png)")</f>
        <v/>
      </c>
      <c r="L91" t="inlineStr">
        <is>
          <t>2025-07-11 14:18:50.834 IST</t>
        </is>
      </c>
      <c r="M91" t="inlineStr">
        <is>
          <t>Soundariya B</t>
        </is>
      </c>
      <c r="N91" t="inlineStr">
        <is>
          <t>Yes</t>
        </is>
      </c>
      <c r="O91" t="inlineStr">
        <is>
          <t>Yes</t>
        </is>
      </c>
      <c r="P91" t="inlineStr">
        <is>
          <t>Soundariya B</t>
        </is>
      </c>
      <c r="Q91" t="inlineStr">
        <is>
          <t>Good</t>
        </is>
      </c>
    </row>
    <row r="92">
      <c r="A92" t="inlineStr">
        <is>
          <t>nakshatra.b</t>
        </is>
      </c>
      <c r="B92" t="inlineStr">
        <is>
          <t>Nakshatra Bhatia</t>
        </is>
      </c>
      <c r="C92" t="inlineStr">
        <is>
          <t>nakshatra.b@osmosys.co</t>
        </is>
      </c>
      <c r="D92" t="inlineStr">
        <is>
          <t>incident-reporter</t>
        </is>
      </c>
      <c r="E92">
        <f>HYPERLINK("http://gitlab.osmosys.co/incident-reporter/incident-reporter-angular-portal", "OQSHA Portal")</f>
        <v/>
      </c>
      <c r="F92">
        <f>HYPERLINK("http://gitlab.osmosys.co/incident-reporter/incident-reporter-angular-portal/-/merge_requests/3413", "feat: add due date and assigned status in tickets page")</f>
        <v/>
      </c>
      <c r="G92" t="inlineStr">
        <is>
          <t>feat/duedate-status-tickets</t>
        </is>
      </c>
      <c r="H92" t="inlineStr">
        <is>
          <t>sprint-17</t>
        </is>
      </c>
      <c r="I92" t="inlineStr">
        <is>
          <t>closed</t>
        </is>
      </c>
      <c r="J92" t="inlineStr">
        <is>
          <t>aa83966eb2b207633660328efd5ae0a0221a5b03</t>
        </is>
      </c>
      <c r="K92">
        <f>HYPERLINK("http://gitlab.osmosys.co/incident-reporter/incident-reporter-angular-portal/-/merge_requests/3413#note_235198", "I kept it similar to Tasks Page there also we're only displaying due date. Should I display time too ?")</f>
        <v/>
      </c>
      <c r="L92" t="inlineStr">
        <is>
          <t>2025-07-11 14:33:32.763 IST</t>
        </is>
      </c>
      <c r="M92" t="inlineStr">
        <is>
          <t>Nakshatra Bhatia</t>
        </is>
      </c>
      <c r="N92" t="inlineStr">
        <is>
          <t>No</t>
        </is>
      </c>
      <c r="O92" t="inlineStr">
        <is>
          <t>Yes</t>
        </is>
      </c>
      <c r="P92" t="inlineStr">
        <is>
          <t>Soundariya B</t>
        </is>
      </c>
      <c r="Q92" t="inlineStr">
        <is>
          <t>Good</t>
        </is>
      </c>
    </row>
    <row r="93">
      <c r="A93" t="inlineStr">
        <is>
          <t>nakshatra.b</t>
        </is>
      </c>
      <c r="B93" t="inlineStr">
        <is>
          <t>Nakshatra Bhatia</t>
        </is>
      </c>
      <c r="C93" t="inlineStr">
        <is>
          <t>nakshatra.b@osmosys.co</t>
        </is>
      </c>
      <c r="D93" t="inlineStr">
        <is>
          <t>incident-reporter</t>
        </is>
      </c>
      <c r="E93">
        <f>HYPERLINK("http://gitlab.osmosys.co/incident-reporter/incident-reporter-angular-portal", "OQSHA Portal")</f>
        <v/>
      </c>
      <c r="F93">
        <f>HYPERLINK("http://gitlab.osmosys.co/incident-reporter/incident-reporter-angular-portal/-/merge_requests/3413", "feat: add due date and assigned status in tickets page")</f>
        <v/>
      </c>
      <c r="G93" t="inlineStr">
        <is>
          <t>feat/duedate-status-tickets</t>
        </is>
      </c>
      <c r="H93" t="inlineStr">
        <is>
          <t>sprint-17</t>
        </is>
      </c>
      <c r="I93" t="inlineStr">
        <is>
          <t>closed</t>
        </is>
      </c>
      <c r="J93" t="inlineStr">
        <is>
          <t>aa83966eb2b207633660328efd5ae0a0221a5b03</t>
        </is>
      </c>
      <c r="K93">
        <f>HYPERLINK("http://gitlab.osmosys.co/incident-reporter/incident-reporter-angular-portal/-/merge_requests/3413#note_237687", "Confirmed this with Raj and added time too")</f>
        <v/>
      </c>
      <c r="L93" t="inlineStr">
        <is>
          <t>2025-07-16 16:42:05.299 IST</t>
        </is>
      </c>
      <c r="M93" t="inlineStr">
        <is>
          <t>Nakshatra Bhatia</t>
        </is>
      </c>
      <c r="N93" t="inlineStr">
        <is>
          <t>No</t>
        </is>
      </c>
      <c r="O93" t="inlineStr">
        <is>
          <t>Yes</t>
        </is>
      </c>
      <c r="P93" t="inlineStr">
        <is>
          <t>Soundariya B</t>
        </is>
      </c>
      <c r="Q93" t="inlineStr">
        <is>
          <t>Good</t>
        </is>
      </c>
    </row>
    <row r="94">
      <c r="A94" t="inlineStr">
        <is>
          <t>nakshatra.b</t>
        </is>
      </c>
      <c r="B94" t="inlineStr">
        <is>
          <t>Nakshatra Bhatia</t>
        </is>
      </c>
      <c r="C94" t="inlineStr">
        <is>
          <t>nakshatra.b@osmosys.co</t>
        </is>
      </c>
      <c r="D94" t="inlineStr">
        <is>
          <t>incident-reporter</t>
        </is>
      </c>
      <c r="E94">
        <f>HYPERLINK("http://gitlab.osmosys.co/incident-reporter/incident-reporter-angular-portal", "OQSHA Portal")</f>
        <v/>
      </c>
      <c r="F94">
        <f>HYPERLINK("http://gitlab.osmosys.co/incident-reporter/incident-reporter-angular-portal/-/merge_requests/3413", "feat: add due date and assigned status in tickets page")</f>
        <v/>
      </c>
      <c r="G94" t="inlineStr">
        <is>
          <t>feat/duedate-status-tickets</t>
        </is>
      </c>
      <c r="H94" t="inlineStr">
        <is>
          <t>sprint-17</t>
        </is>
      </c>
      <c r="I94" t="inlineStr">
        <is>
          <t>closed</t>
        </is>
      </c>
      <c r="J94" t="inlineStr">
        <is>
          <t>d5988b2c69313362a984fa9c0f1b7a7cad688d98</t>
        </is>
      </c>
      <c r="K94">
        <f>HYPERLINK("http://gitlab.osmosys.co/incident-reporter/incident-reporter-angular-portal/-/merge_requests/3413#note_235164", "You can observed this in the video  that track history/status is not update when you changed the due time from 5:30 to 9:30 which should be there but not generated
![image.png](/uploads/e48057916299644a1983df51061862f9/image.png)")</f>
        <v/>
      </c>
      <c r="L94" t="inlineStr">
        <is>
          <t>2025-07-11 14:18:50.859 IST</t>
        </is>
      </c>
      <c r="M94" t="inlineStr">
        <is>
          <t>Soundariya B</t>
        </is>
      </c>
      <c r="N94" t="inlineStr">
        <is>
          <t>Yes</t>
        </is>
      </c>
      <c r="O94" t="inlineStr">
        <is>
          <t>Yes</t>
        </is>
      </c>
      <c r="P94" t="inlineStr">
        <is>
          <t>Soundariya B</t>
        </is>
      </c>
      <c r="Q94" t="inlineStr">
        <is>
          <t>Neutral</t>
        </is>
      </c>
    </row>
    <row r="95">
      <c r="A95" t="inlineStr">
        <is>
          <t>nakshatra.b</t>
        </is>
      </c>
      <c r="B95" t="inlineStr">
        <is>
          <t>Nakshatra Bhatia</t>
        </is>
      </c>
      <c r="C95" t="inlineStr">
        <is>
          <t>nakshatra.b@osmosys.co</t>
        </is>
      </c>
      <c r="D95" t="inlineStr">
        <is>
          <t>incident-reporter</t>
        </is>
      </c>
      <c r="E95">
        <f>HYPERLINK("http://gitlab.osmosys.co/incident-reporter/incident-reporter-angular-portal", "OQSHA Portal")</f>
        <v/>
      </c>
      <c r="F95">
        <f>HYPERLINK("http://gitlab.osmosys.co/incident-reporter/incident-reporter-angular-portal/-/merge_requests/3413", "feat: add due date and assigned status in tickets page")</f>
        <v/>
      </c>
      <c r="G95" t="inlineStr">
        <is>
          <t>feat/duedate-status-tickets</t>
        </is>
      </c>
      <c r="H95" t="inlineStr">
        <is>
          <t>sprint-17</t>
        </is>
      </c>
      <c r="I95" t="inlineStr">
        <is>
          <t>closed</t>
        </is>
      </c>
      <c r="J95" t="inlineStr">
        <is>
          <t>d5988b2c69313362a984fa9c0f1b7a7cad688d98</t>
        </is>
      </c>
      <c r="K95">
        <f>HYPERLINK("http://gitlab.osmosys.co/incident-reporter/incident-reporter-angular-portal/-/merge_requests/3413#note_235200", "In tickets page we're not displaying history comments there for any updation . It only show comments for status update. Else we will see all the details here after creation too. It is only showing ticket if after creation. So that needs to be implemented separately.")</f>
        <v/>
      </c>
      <c r="L95" t="inlineStr">
        <is>
          <t>2025-07-11 14:37:15.092 IST</t>
        </is>
      </c>
      <c r="M95" t="inlineStr">
        <is>
          <t>Nakshatra Bhatia</t>
        </is>
      </c>
      <c r="N95" t="inlineStr">
        <is>
          <t>No</t>
        </is>
      </c>
      <c r="O95" t="inlineStr">
        <is>
          <t>Yes</t>
        </is>
      </c>
      <c r="P95" t="inlineStr">
        <is>
          <t>Soundariya B</t>
        </is>
      </c>
      <c r="Q95" t="inlineStr">
        <is>
          <t>Neutral</t>
        </is>
      </c>
    </row>
    <row r="96">
      <c r="A96" t="inlineStr">
        <is>
          <t>nakshatra.b</t>
        </is>
      </c>
      <c r="B96" t="inlineStr">
        <is>
          <t>Nakshatra Bhatia</t>
        </is>
      </c>
      <c r="C96" t="inlineStr">
        <is>
          <t>nakshatra.b@osmosys.co</t>
        </is>
      </c>
      <c r="D96" t="inlineStr">
        <is>
          <t>incident-reporter</t>
        </is>
      </c>
      <c r="E96">
        <f>HYPERLINK("http://gitlab.osmosys.co/incident-reporter/incident-reporter-angular-portal", "OQSHA Portal")</f>
        <v/>
      </c>
      <c r="F96">
        <f>HYPERLINK("http://gitlab.osmosys.co/incident-reporter/incident-reporter-angular-portal/-/merge_requests/3413", "feat: add due date and assigned status in tickets page")</f>
        <v/>
      </c>
      <c r="G96" t="inlineStr">
        <is>
          <t>feat/duedate-status-tickets</t>
        </is>
      </c>
      <c r="H96" t="inlineStr">
        <is>
          <t>sprint-17</t>
        </is>
      </c>
      <c r="I96" t="inlineStr">
        <is>
          <t>closed</t>
        </is>
      </c>
      <c r="J96" t="inlineStr">
        <is>
          <t>d5988b2c69313362a984fa9c0f1b7a7cad688d98</t>
        </is>
      </c>
      <c r="K96">
        <f>HYPERLINK("http://gitlab.osmosys.co/incident-reporter/incident-reporter-angular-portal/-/merge_requests/3413#note_237689", "We're not getting historycomments from backend for duedate fields.")</f>
        <v/>
      </c>
      <c r="L96" t="inlineStr">
        <is>
          <t>2025-07-16 16:42:37.418 IST</t>
        </is>
      </c>
      <c r="M96" t="inlineStr">
        <is>
          <t>Nakshatra Bhatia</t>
        </is>
      </c>
      <c r="N96" t="inlineStr">
        <is>
          <t>No</t>
        </is>
      </c>
      <c r="O96" t="inlineStr">
        <is>
          <t>Yes</t>
        </is>
      </c>
      <c r="P96" t="inlineStr">
        <is>
          <t>Soundariya B</t>
        </is>
      </c>
      <c r="Q96" t="inlineStr">
        <is>
          <t>Neutral</t>
        </is>
      </c>
    </row>
    <row r="97">
      <c r="A97" t="inlineStr">
        <is>
          <t>nakshatra.b</t>
        </is>
      </c>
      <c r="B97" t="inlineStr">
        <is>
          <t>Nakshatra Bhatia</t>
        </is>
      </c>
      <c r="C97" t="inlineStr">
        <is>
          <t>nakshatra.b@osmosys.co</t>
        </is>
      </c>
      <c r="D97" t="inlineStr">
        <is>
          <t>incident-reporter</t>
        </is>
      </c>
      <c r="E97">
        <f>HYPERLINK("http://gitlab.osmosys.co/incident-reporter/incident-reporter-angular-portal", "OQSHA Portal")</f>
        <v/>
      </c>
      <c r="F97">
        <f>HYPERLINK("http://gitlab.osmosys.co/incident-reporter/incident-reporter-angular-portal/-/merge_requests/3413", "feat: add due date and assigned status in tickets page")</f>
        <v/>
      </c>
      <c r="G97" t="inlineStr">
        <is>
          <t>feat/duedate-status-tickets</t>
        </is>
      </c>
      <c r="H97" t="inlineStr">
        <is>
          <t>sprint-17</t>
        </is>
      </c>
      <c r="I97" t="inlineStr">
        <is>
          <t>closed</t>
        </is>
      </c>
      <c r="J97" t="inlineStr">
        <is>
          <t>7f9d523770cd328bdb42f89b9da4713af9e7512d</t>
        </is>
      </c>
      <c r="K97">
        <f>HYPERLINK("http://gitlab.osmosys.co/incident-reporter/incident-reporter-angular-portal/-/merge_requests/3413#note_235165", "Declare the data type")</f>
        <v/>
      </c>
      <c r="L97" t="inlineStr">
        <is>
          <t>2025-07-11 14:18:50.949 IST</t>
        </is>
      </c>
      <c r="M97" t="inlineStr">
        <is>
          <t>Soundariya B</t>
        </is>
      </c>
      <c r="N97" t="inlineStr">
        <is>
          <t>Yes</t>
        </is>
      </c>
      <c r="O97" t="inlineStr">
        <is>
          <t>Yes</t>
        </is>
      </c>
      <c r="P97" t="inlineStr">
        <is>
          <t>Soundariya B</t>
        </is>
      </c>
      <c r="Q97" t="inlineStr">
        <is>
          <t>Neutral</t>
        </is>
      </c>
    </row>
    <row r="98">
      <c r="A98" t="inlineStr">
        <is>
          <t>nakshatra.b</t>
        </is>
      </c>
      <c r="B98" t="inlineStr">
        <is>
          <t>Nakshatra Bhatia</t>
        </is>
      </c>
      <c r="C98" t="inlineStr">
        <is>
          <t>nakshatra.b@osmosys.co</t>
        </is>
      </c>
      <c r="D98" t="inlineStr">
        <is>
          <t>incident-reporter</t>
        </is>
      </c>
      <c r="E98">
        <f>HYPERLINK("http://gitlab.osmosys.co/incident-reporter/incident-reporter-angular-portal", "OQSHA Portal")</f>
        <v/>
      </c>
      <c r="F98">
        <f>HYPERLINK("http://gitlab.osmosys.co/incident-reporter/incident-reporter-angular-portal/-/merge_requests/3413", "feat: add due date and assigned status in tickets page")</f>
        <v/>
      </c>
      <c r="G98" t="inlineStr">
        <is>
          <t>feat/duedate-status-tickets</t>
        </is>
      </c>
      <c r="H98" t="inlineStr">
        <is>
          <t>sprint-17</t>
        </is>
      </c>
      <c r="I98" t="inlineStr">
        <is>
          <t>closed</t>
        </is>
      </c>
      <c r="J98" t="inlineStr">
        <is>
          <t>7689ff1273ade471a2c96c8b6485945caa100765</t>
        </is>
      </c>
      <c r="K98">
        <f>HYPERLINK("http://gitlab.osmosys.co/incident-reporter/incident-reporter-angular-portal/-/merge_requests/3413#note_235166", "I already mentioned in many PR we have already in some common or shared file to use it and also this approach  is not good please check once.")</f>
        <v/>
      </c>
      <c r="L98" t="inlineStr">
        <is>
          <t>2025-07-11 14:18:51.018 IST</t>
        </is>
      </c>
      <c r="M98" t="inlineStr">
        <is>
          <t>Soundariya B</t>
        </is>
      </c>
      <c r="N98" t="inlineStr">
        <is>
          <t>Yes</t>
        </is>
      </c>
      <c r="O98" t="inlineStr">
        <is>
          <t>Yes</t>
        </is>
      </c>
      <c r="P98" t="inlineStr">
        <is>
          <t>Soundariya B</t>
        </is>
      </c>
      <c r="Q98" t="inlineStr">
        <is>
          <t>Neutral</t>
        </is>
      </c>
    </row>
    <row r="99">
      <c r="A99" t="inlineStr">
        <is>
          <t>nakshatra.b</t>
        </is>
      </c>
      <c r="B99" t="inlineStr">
        <is>
          <t>Nakshatra Bhatia</t>
        </is>
      </c>
      <c r="C99" t="inlineStr">
        <is>
          <t>nakshatra.b@osmosys.co</t>
        </is>
      </c>
      <c r="D99" t="inlineStr">
        <is>
          <t>incident-reporter</t>
        </is>
      </c>
      <c r="E99">
        <f>HYPERLINK("http://gitlab.osmosys.co/incident-reporter/incident-reporter-angular-portal", "OQSHA Portal")</f>
        <v/>
      </c>
      <c r="F99">
        <f>HYPERLINK("http://gitlab.osmosys.co/incident-reporter/incident-reporter-angular-portal/-/merge_requests/3413", "feat: add due date and assigned status in tickets page")</f>
        <v/>
      </c>
      <c r="G99" t="inlineStr">
        <is>
          <t>feat/duedate-status-tickets</t>
        </is>
      </c>
      <c r="H99" t="inlineStr">
        <is>
          <t>sprint-17</t>
        </is>
      </c>
      <c r="I99" t="inlineStr">
        <is>
          <t>closed</t>
        </is>
      </c>
      <c r="J99" t="inlineStr">
        <is>
          <t>7689ff1273ade471a2c96c8b6485945caa100765</t>
        </is>
      </c>
      <c r="K99">
        <f>HYPERLINK("http://gitlab.osmosys.co/incident-reporter/incident-reporter-angular-portal/-/merge_requests/3413#note_237691", "I added service logic and updated the code with moment logic. Earlier logic was used because of same logic in task module for duedate and time. Will update it in code-improvement/performance improvement if required in other task.")</f>
        <v/>
      </c>
      <c r="L99" t="inlineStr">
        <is>
          <t>2025-07-16 16:44:15.480 IST</t>
        </is>
      </c>
      <c r="M99" t="inlineStr">
        <is>
          <t>Nakshatra Bhatia</t>
        </is>
      </c>
      <c r="N99" t="inlineStr">
        <is>
          <t>No</t>
        </is>
      </c>
      <c r="O99" t="inlineStr">
        <is>
          <t>Yes</t>
        </is>
      </c>
      <c r="P99" t="inlineStr">
        <is>
          <t>Soundariya B</t>
        </is>
      </c>
      <c r="Q99" t="inlineStr">
        <is>
          <t>Neutral</t>
        </is>
      </c>
    </row>
    <row r="100">
      <c r="A100" t="inlineStr">
        <is>
          <t>nakshatra.b</t>
        </is>
      </c>
      <c r="B100" t="inlineStr">
        <is>
          <t>Nakshatra Bhatia</t>
        </is>
      </c>
      <c r="C100" t="inlineStr">
        <is>
          <t>nakshatra.b@osmosys.co</t>
        </is>
      </c>
      <c r="D100" t="inlineStr">
        <is>
          <t>incident-reporter</t>
        </is>
      </c>
      <c r="E100">
        <f>HYPERLINK("http://gitlab.osmosys.co/incident-reporter/incident-reporter-angular-portal", "OQSHA Portal")</f>
        <v/>
      </c>
      <c r="F100">
        <f>HYPERLINK("http://gitlab.osmosys.co/incident-reporter/incident-reporter-angular-portal/-/merge_requests/3413", "feat: add due date and assigned status in tickets page")</f>
        <v/>
      </c>
      <c r="G100" t="inlineStr">
        <is>
          <t>feat/duedate-status-tickets</t>
        </is>
      </c>
      <c r="H100" t="inlineStr">
        <is>
          <t>sprint-17</t>
        </is>
      </c>
      <c r="I100" t="inlineStr">
        <is>
          <t>closed</t>
        </is>
      </c>
      <c r="J100" t="inlineStr">
        <is>
          <t>3ec1f78b042d66e338a741b3e2ec79a3e1d404f3</t>
        </is>
      </c>
      <c r="K100">
        <f>HYPERLINK("http://gitlab.osmosys.co/incident-reporter/incident-reporter-angular-portal/-/merge_requests/3413#note_235167", "typo mistake - it should be dateTimeValid")</f>
        <v/>
      </c>
      <c r="L100" t="inlineStr">
        <is>
          <t>2025-07-11 14:18:51.076 IST</t>
        </is>
      </c>
      <c r="M100" t="inlineStr">
        <is>
          <t>Soundariya B</t>
        </is>
      </c>
      <c r="N100" t="inlineStr">
        <is>
          <t>Yes</t>
        </is>
      </c>
      <c r="O100" t="inlineStr">
        <is>
          <t>Yes</t>
        </is>
      </c>
      <c r="P100" t="inlineStr">
        <is>
          <t>Soundariya B</t>
        </is>
      </c>
      <c r="Q100" t="inlineStr">
        <is>
          <t>Good</t>
        </is>
      </c>
    </row>
    <row r="101">
      <c r="A101" t="inlineStr">
        <is>
          <t>nakshatra.b</t>
        </is>
      </c>
      <c r="B101" t="inlineStr">
        <is>
          <t>Nakshatra Bhatia</t>
        </is>
      </c>
      <c r="C101" t="inlineStr">
        <is>
          <t>nakshatra.b@osmosys.co</t>
        </is>
      </c>
      <c r="D101" t="inlineStr">
        <is>
          <t>incident-reporter</t>
        </is>
      </c>
      <c r="E101">
        <f>HYPERLINK("http://gitlab.osmosys.co/incident-reporter/incident-reporter-angular-portal", "OQSHA Portal")</f>
        <v/>
      </c>
      <c r="F101">
        <f>HYPERLINK("http://gitlab.osmosys.co/incident-reporter/incident-reporter-angular-portal/-/merge_requests/3413", "feat: add due date and assigned status in tickets page")</f>
        <v/>
      </c>
      <c r="G101" t="inlineStr">
        <is>
          <t>feat/duedate-status-tickets</t>
        </is>
      </c>
      <c r="H101" t="inlineStr">
        <is>
          <t>sprint-17</t>
        </is>
      </c>
      <c r="I101" t="inlineStr">
        <is>
          <t>closed</t>
        </is>
      </c>
      <c r="J101" t="inlineStr">
        <is>
          <t>3ec1f78b042d66e338a741b3e2ec79a3e1d404f3</t>
        </is>
      </c>
      <c r="K101">
        <f>HYPERLINK("http://gitlab.osmosys.co/incident-reporter/incident-reporter-angular-portal/-/merge_requests/3413#note_235216", "corrected it")</f>
        <v/>
      </c>
      <c r="L101" t="inlineStr">
        <is>
          <t>2025-07-11 14:57:02.916 IST</t>
        </is>
      </c>
      <c r="M101" t="inlineStr">
        <is>
          <t>Nakshatra Bhatia</t>
        </is>
      </c>
      <c r="N101" t="inlineStr">
        <is>
          <t>No</t>
        </is>
      </c>
      <c r="O101" t="inlineStr">
        <is>
          <t>Yes</t>
        </is>
      </c>
      <c r="P101" t="inlineStr">
        <is>
          <t>Soundariya B</t>
        </is>
      </c>
      <c r="Q101" t="inlineStr">
        <is>
          <t>Good</t>
        </is>
      </c>
    </row>
    <row r="102">
      <c r="A102" t="inlineStr">
        <is>
          <t>nakshatra.b</t>
        </is>
      </c>
      <c r="B102" t="inlineStr">
        <is>
          <t>Nakshatra Bhatia</t>
        </is>
      </c>
      <c r="C102" t="inlineStr">
        <is>
          <t>nakshatra.b@osmosys.co</t>
        </is>
      </c>
      <c r="D102" t="inlineStr">
        <is>
          <t>incident-reporter</t>
        </is>
      </c>
      <c r="E102">
        <f>HYPERLINK("http://gitlab.osmosys.co/incident-reporter/incident-reporter-angular-portal", "OQSHA Portal")</f>
        <v/>
      </c>
      <c r="F102">
        <f>HYPERLINK("http://gitlab.osmosys.co/incident-reporter/incident-reporter-angular-portal/-/merge_requests/3413", "feat: add due date and assigned status in tickets page")</f>
        <v/>
      </c>
      <c r="G102" t="inlineStr">
        <is>
          <t>feat/duedate-status-tickets</t>
        </is>
      </c>
      <c r="H102" t="inlineStr">
        <is>
          <t>sprint-17</t>
        </is>
      </c>
      <c r="I102" t="inlineStr">
        <is>
          <t>closed</t>
        </is>
      </c>
      <c r="J102" t="inlineStr">
        <is>
          <t>23b6320263a5a20579e7e63ac03498baf53be6fa</t>
        </is>
      </c>
      <c r="K102">
        <f>HYPERLINK("http://gitlab.osmosys.co/incident-reporter/incident-reporter-angular-portal/-/merge_requests/3413#note_235168", "Remove this if not required")</f>
        <v/>
      </c>
      <c r="L102" t="inlineStr">
        <is>
          <t>2025-07-11 14:18:51.133 IST</t>
        </is>
      </c>
      <c r="M102" t="inlineStr">
        <is>
          <t>Soundariya B</t>
        </is>
      </c>
      <c r="N102" t="inlineStr">
        <is>
          <t>Yes</t>
        </is>
      </c>
      <c r="O102" t="inlineStr">
        <is>
          <t>Yes</t>
        </is>
      </c>
      <c r="P102" t="inlineStr">
        <is>
          <t>Soundariya B</t>
        </is>
      </c>
      <c r="Q102" t="inlineStr">
        <is>
          <t>Good</t>
        </is>
      </c>
    </row>
    <row r="103">
      <c r="A103" t="inlineStr">
        <is>
          <t>nakshatra.b</t>
        </is>
      </c>
      <c r="B103" t="inlineStr">
        <is>
          <t>Nakshatra Bhatia</t>
        </is>
      </c>
      <c r="C103" t="inlineStr">
        <is>
          <t>nakshatra.b@osmosys.co</t>
        </is>
      </c>
      <c r="D103" t="inlineStr">
        <is>
          <t>incident-reporter</t>
        </is>
      </c>
      <c r="E103">
        <f>HYPERLINK("http://gitlab.osmosys.co/incident-reporter/incident-reporter-angular-portal", "OQSHA Portal")</f>
        <v/>
      </c>
      <c r="F103">
        <f>HYPERLINK("http://gitlab.osmosys.co/incident-reporter/incident-reporter-angular-portal/-/merge_requests/3413", "feat: add due date and assigned status in tickets page")</f>
        <v/>
      </c>
      <c r="G103" t="inlineStr">
        <is>
          <t>feat/duedate-status-tickets</t>
        </is>
      </c>
      <c r="H103" t="inlineStr">
        <is>
          <t>sprint-17</t>
        </is>
      </c>
      <c r="I103" t="inlineStr">
        <is>
          <t>closed</t>
        </is>
      </c>
      <c r="J103" t="inlineStr">
        <is>
          <t>23b6320263a5a20579e7e63ac03498baf53be6fa</t>
        </is>
      </c>
      <c r="K103">
        <f>HYPERLINK("http://gitlab.osmosys.co/incident-reporter/incident-reporter-angular-portal/-/merge_requests/3413#note_235215", "removed it")</f>
        <v/>
      </c>
      <c r="L103" t="inlineStr">
        <is>
          <t>2025-07-11 14:56:16.623 IST</t>
        </is>
      </c>
      <c r="M103" t="inlineStr">
        <is>
          <t>Nakshatra Bhatia</t>
        </is>
      </c>
      <c r="N103" t="inlineStr">
        <is>
          <t>No</t>
        </is>
      </c>
      <c r="O103" t="inlineStr">
        <is>
          <t>Yes</t>
        </is>
      </c>
      <c r="P103" t="inlineStr">
        <is>
          <t>Soundariya B</t>
        </is>
      </c>
      <c r="Q103" t="inlineStr">
        <is>
          <t>Good</t>
        </is>
      </c>
    </row>
    <row r="104">
      <c r="A104" t="inlineStr">
        <is>
          <t>nakshatra.b</t>
        </is>
      </c>
      <c r="B104" t="inlineStr">
        <is>
          <t>Nakshatra Bhatia</t>
        </is>
      </c>
      <c r="C104" t="inlineStr">
        <is>
          <t>nakshatra.b@osmosys.co</t>
        </is>
      </c>
      <c r="D104" t="inlineStr">
        <is>
          <t>incident-reporter</t>
        </is>
      </c>
      <c r="E104">
        <f>HYPERLINK("http://gitlab.osmosys.co/incident-reporter/incident-reporter-angular-portal", "OQSHA Portal")</f>
        <v/>
      </c>
      <c r="F104">
        <f>HYPERLINK("http://gitlab.osmosys.co/incident-reporter/incident-reporter-angular-portal/-/merge_requests/3413", "feat: add due date and assigned status in tickets page")</f>
        <v/>
      </c>
      <c r="G104" t="inlineStr">
        <is>
          <t>feat/duedate-status-tickets</t>
        </is>
      </c>
      <c r="H104" t="inlineStr">
        <is>
          <t>sprint-17</t>
        </is>
      </c>
      <c r="I104" t="inlineStr">
        <is>
          <t>closed</t>
        </is>
      </c>
      <c r="J104" t="inlineStr">
        <is>
          <t>b2f6f41c3188215c15e6de48865898bad513e0f3</t>
        </is>
      </c>
      <c r="K104">
        <f>HYPERLINK("http://gitlab.osmosys.co/incident-reporter/incident-reporter-angular-portal/-/merge_requests/3413#note_235169", "Remove the hardcoded text")</f>
        <v/>
      </c>
      <c r="L104" t="inlineStr">
        <is>
          <t>2025-07-11 14:18:51.216 IST</t>
        </is>
      </c>
      <c r="M104" t="inlineStr">
        <is>
          <t>Soundariya B</t>
        </is>
      </c>
      <c r="N104" t="inlineStr">
        <is>
          <t>Yes</t>
        </is>
      </c>
      <c r="O104" t="inlineStr">
        <is>
          <t>Yes</t>
        </is>
      </c>
      <c r="P104" t="inlineStr">
        <is>
          <t>Soundariya B</t>
        </is>
      </c>
      <c r="Q104" t="inlineStr">
        <is>
          <t>Good</t>
        </is>
      </c>
    </row>
    <row r="105">
      <c r="A105" t="inlineStr">
        <is>
          <t>nakshatra.b</t>
        </is>
      </c>
      <c r="B105" t="inlineStr">
        <is>
          <t>Nakshatra Bhatia</t>
        </is>
      </c>
      <c r="C105" t="inlineStr">
        <is>
          <t>nakshatra.b@osmosys.co</t>
        </is>
      </c>
      <c r="D105" t="inlineStr">
        <is>
          <t>incident-reporter</t>
        </is>
      </c>
      <c r="E105">
        <f>HYPERLINK("http://gitlab.osmosys.co/incident-reporter/incident-reporter-angular-portal", "OQSHA Portal")</f>
        <v/>
      </c>
      <c r="F105">
        <f>HYPERLINK("http://gitlab.osmosys.co/incident-reporter/incident-reporter-angular-portal/-/merge_requests/3413", "feat: add due date and assigned status in tickets page")</f>
        <v/>
      </c>
      <c r="G105" t="inlineStr">
        <is>
          <t>feat/duedate-status-tickets</t>
        </is>
      </c>
      <c r="H105" t="inlineStr">
        <is>
          <t>sprint-17</t>
        </is>
      </c>
      <c r="I105" t="inlineStr">
        <is>
          <t>closed</t>
        </is>
      </c>
      <c r="J105" t="inlineStr">
        <is>
          <t>b2f6f41c3188215c15e6de48865898bad513e0f3</t>
        </is>
      </c>
      <c r="K105">
        <f>HYPERLINK("http://gitlab.osmosys.co/incident-reporter/incident-reporter-angular-portal/-/merge_requests/3413#note_235205", "updated it")</f>
        <v/>
      </c>
      <c r="L105" t="inlineStr">
        <is>
          <t>2025-07-11 14:49:49.667 IST</t>
        </is>
      </c>
      <c r="M105" t="inlineStr">
        <is>
          <t>Nakshatra Bhatia</t>
        </is>
      </c>
      <c r="N105" t="inlineStr">
        <is>
          <t>No</t>
        </is>
      </c>
      <c r="O105" t="inlineStr">
        <is>
          <t>Yes</t>
        </is>
      </c>
      <c r="P105" t="inlineStr">
        <is>
          <t>Soundariya B</t>
        </is>
      </c>
      <c r="Q105" t="inlineStr">
        <is>
          <t>Good</t>
        </is>
      </c>
    </row>
    <row r="106">
      <c r="A106" t="inlineStr">
        <is>
          <t>nakshatra.b</t>
        </is>
      </c>
      <c r="B106" t="inlineStr">
        <is>
          <t>Nakshatra Bhatia</t>
        </is>
      </c>
      <c r="C106" t="inlineStr">
        <is>
          <t>nakshatra.b@osmosys.co</t>
        </is>
      </c>
      <c r="D106" t="inlineStr">
        <is>
          <t>incident-reporter</t>
        </is>
      </c>
      <c r="E106">
        <f>HYPERLINK("http://gitlab.osmosys.co/incident-reporter/incident-reporter-angular-portal", "OQSHA Portal")</f>
        <v/>
      </c>
      <c r="F106">
        <f>HYPERLINK("http://gitlab.osmosys.co/incident-reporter/incident-reporter-angular-portal/-/merge_requests/3413", "feat: add due date and assigned status in tickets page")</f>
        <v/>
      </c>
      <c r="G106" t="inlineStr">
        <is>
          <t>feat/duedate-status-tickets</t>
        </is>
      </c>
      <c r="H106" t="inlineStr">
        <is>
          <t>sprint-17</t>
        </is>
      </c>
      <c r="I106" t="inlineStr">
        <is>
          <t>closed</t>
        </is>
      </c>
      <c r="J106" t="inlineStr">
        <is>
          <t>182753b392e72fdd8a3e10fa50c5c45416d8cdf5</t>
        </is>
      </c>
      <c r="K106">
        <f>HYPERLINK("http://gitlab.osmosys.co/incident-reporter/incident-reporter-angular-portal/-/merge_requests/3413#note_235170", "Remove the hardcoded text")</f>
        <v/>
      </c>
      <c r="L106" t="inlineStr">
        <is>
          <t>2025-07-11 14:18:51.315 IST</t>
        </is>
      </c>
      <c r="M106" t="inlineStr">
        <is>
          <t>Soundariya B</t>
        </is>
      </c>
      <c r="N106" t="inlineStr">
        <is>
          <t>Yes</t>
        </is>
      </c>
      <c r="O106" t="inlineStr">
        <is>
          <t>Yes</t>
        </is>
      </c>
      <c r="P106" t="inlineStr">
        <is>
          <t>Soundariya B</t>
        </is>
      </c>
      <c r="Q106" t="inlineStr">
        <is>
          <t>Good</t>
        </is>
      </c>
    </row>
    <row r="107">
      <c r="A107" t="inlineStr">
        <is>
          <t>nakshatra.b</t>
        </is>
      </c>
      <c r="B107" t="inlineStr">
        <is>
          <t>Nakshatra Bhatia</t>
        </is>
      </c>
      <c r="C107" t="inlineStr">
        <is>
          <t>nakshatra.b@osmosys.co</t>
        </is>
      </c>
      <c r="D107" t="inlineStr">
        <is>
          <t>incident-reporter</t>
        </is>
      </c>
      <c r="E107">
        <f>HYPERLINK("http://gitlab.osmosys.co/incident-reporter/incident-reporter-angular-portal", "OQSHA Portal")</f>
        <v/>
      </c>
      <c r="F107">
        <f>HYPERLINK("http://gitlab.osmosys.co/incident-reporter/incident-reporter-angular-portal/-/merge_requests/3413", "feat: add due date and assigned status in tickets page")</f>
        <v/>
      </c>
      <c r="G107" t="inlineStr">
        <is>
          <t>feat/duedate-status-tickets</t>
        </is>
      </c>
      <c r="H107" t="inlineStr">
        <is>
          <t>sprint-17</t>
        </is>
      </c>
      <c r="I107" t="inlineStr">
        <is>
          <t>closed</t>
        </is>
      </c>
      <c r="J107" t="inlineStr">
        <is>
          <t>182753b392e72fdd8a3e10fa50c5c45416d8cdf5</t>
        </is>
      </c>
      <c r="K107">
        <f>HYPERLINK("http://gitlab.osmosys.co/incident-reporter/incident-reporter-angular-portal/-/merge_requests/3413#note_235204", "updated it")</f>
        <v/>
      </c>
      <c r="L107" t="inlineStr">
        <is>
          <t>2025-07-11 14:49:43.175 IST</t>
        </is>
      </c>
      <c r="M107" t="inlineStr">
        <is>
          <t>Nakshatra Bhatia</t>
        </is>
      </c>
      <c r="N107" t="inlineStr">
        <is>
          <t>No</t>
        </is>
      </c>
      <c r="O107" t="inlineStr">
        <is>
          <t>Yes</t>
        </is>
      </c>
      <c r="P107" t="inlineStr">
        <is>
          <t>Soundariya B</t>
        </is>
      </c>
      <c r="Q107" t="inlineStr">
        <is>
          <t>Good</t>
        </is>
      </c>
    </row>
    <row r="108">
      <c r="A108" t="inlineStr">
        <is>
          <t>nakshatra.b</t>
        </is>
      </c>
      <c r="B108" t="inlineStr">
        <is>
          <t>Nakshatra Bhatia</t>
        </is>
      </c>
      <c r="C108" t="inlineStr">
        <is>
          <t>nakshatra.b@osmosys.co</t>
        </is>
      </c>
      <c r="D108" t="inlineStr">
        <is>
          <t>incident-reporter</t>
        </is>
      </c>
      <c r="E108">
        <f>HYPERLINK("http://gitlab.osmosys.co/incident-reporter/incident-reporter-angular-portal", "OQSHA Portal")</f>
        <v/>
      </c>
      <c r="F108">
        <f>HYPERLINK("http://gitlab.osmosys.co/incident-reporter/incident-reporter-angular-portal/-/merge_requests/3404", "fix: fix in navigation of add/edit page")</f>
        <v/>
      </c>
      <c r="G108" t="inlineStr">
        <is>
          <t>add-page-navigation</t>
        </is>
      </c>
      <c r="H108" t="inlineStr">
        <is>
          <t>sprint-17</t>
        </is>
      </c>
      <c r="I108" t="inlineStr">
        <is>
          <t>merged</t>
        </is>
      </c>
      <c r="J108" t="inlineStr">
        <is>
          <t>ca9c1cf98136545017321929c7ec25a634acd760</t>
        </is>
      </c>
      <c r="K108">
        <f>HYPERLINK("http://gitlab.osmosys.co/incident-reporter/incident-reporter-angular-portal/-/merge_requests/3404#note_234237", "After submitted still the while screen with location label is showing for a few seconds instead it should go directly to list page - ![image](/uploads/64019eb6193a23de98d4c58edbb52d31/image.png)")</f>
        <v/>
      </c>
      <c r="L108" t="inlineStr">
        <is>
          <t>2025-07-10 17:14:01.443 IST</t>
        </is>
      </c>
      <c r="M108" t="inlineStr">
        <is>
          <t>Soundariya B</t>
        </is>
      </c>
      <c r="N108" t="inlineStr">
        <is>
          <t>Yes</t>
        </is>
      </c>
      <c r="O108" t="inlineStr">
        <is>
          <t>Yes</t>
        </is>
      </c>
      <c r="P108" t="inlineStr">
        <is>
          <t>Soundariya B</t>
        </is>
      </c>
      <c r="Q108" t="inlineStr">
        <is>
          <t>Bad</t>
        </is>
      </c>
    </row>
    <row r="109">
      <c r="A109" t="inlineStr">
        <is>
          <t>nakshatra.b</t>
        </is>
      </c>
      <c r="B109" t="inlineStr">
        <is>
          <t>Nakshatra Bhatia</t>
        </is>
      </c>
      <c r="C109" t="inlineStr">
        <is>
          <t>nakshatra.b@osmosys.co</t>
        </is>
      </c>
      <c r="D109" t="inlineStr">
        <is>
          <t>incident-reporter</t>
        </is>
      </c>
      <c r="E109">
        <f>HYPERLINK("http://gitlab.osmosys.co/incident-reporter/incident-reporter-angular-portal", "OQSHA Portal")</f>
        <v/>
      </c>
      <c r="F109">
        <f>HYPERLINK("http://gitlab.osmosys.co/incident-reporter/incident-reporter-angular-portal/-/merge_requests/3404", "fix: fix in navigation of add/edit page")</f>
        <v/>
      </c>
      <c r="G109" t="inlineStr">
        <is>
          <t>add-page-navigation</t>
        </is>
      </c>
      <c r="H109" t="inlineStr">
        <is>
          <t>sprint-17</t>
        </is>
      </c>
      <c r="I109" t="inlineStr">
        <is>
          <t>merged</t>
        </is>
      </c>
      <c r="J109" t="inlineStr">
        <is>
          <t>ca9c1cf98136545017321929c7ec25a634acd760</t>
        </is>
      </c>
      <c r="K109">
        <f>HYPERLINK("http://gitlab.osmosys.co/incident-reporter/incident-reporter-angular-portal/-/merge_requests/3404#note_235153", "Fixed it")</f>
        <v/>
      </c>
      <c r="L109" t="inlineStr">
        <is>
          <t>2025-07-11 14:11:47.444 IST</t>
        </is>
      </c>
      <c r="M109" t="inlineStr">
        <is>
          <t>Nakshatra Bhatia</t>
        </is>
      </c>
      <c r="N109" t="inlineStr">
        <is>
          <t>No</t>
        </is>
      </c>
      <c r="O109" t="inlineStr">
        <is>
          <t>Yes</t>
        </is>
      </c>
      <c r="P109" t="inlineStr">
        <is>
          <t>Soundariya B</t>
        </is>
      </c>
      <c r="Q109" t="inlineStr">
        <is>
          <t>Bad</t>
        </is>
      </c>
    </row>
    <row r="110">
      <c r="A110" t="inlineStr">
        <is>
          <t>nakshatra.b</t>
        </is>
      </c>
      <c r="B110" t="inlineStr">
        <is>
          <t>Nakshatra Bhatia</t>
        </is>
      </c>
      <c r="C110" t="inlineStr">
        <is>
          <t>nakshatra.b@osmosys.co</t>
        </is>
      </c>
      <c r="D110" t="inlineStr">
        <is>
          <t>incident-reporter</t>
        </is>
      </c>
      <c r="E110">
        <f>HYPERLINK("http://gitlab.osmosys.co/incident-reporter/incident-reporter-angular-portal", "OQSHA Portal")</f>
        <v/>
      </c>
      <c r="F110">
        <f>HYPERLINK("http://gitlab.osmosys.co/incident-reporter/incident-reporter-angular-portal/-/merge_requests/3404", "fix: fix in navigation of add/edit page")</f>
        <v/>
      </c>
      <c r="G110" t="inlineStr">
        <is>
          <t>add-page-navigation</t>
        </is>
      </c>
      <c r="H110" t="inlineStr">
        <is>
          <t>sprint-17</t>
        </is>
      </c>
      <c r="I110" t="inlineStr">
        <is>
          <t>merged</t>
        </is>
      </c>
      <c r="J110" t="inlineStr">
        <is>
          <t>ca9c1cf98136545017321929c7ec25a634acd760</t>
        </is>
      </c>
      <c r="K110">
        <f>HYPERLINK("http://gitlab.osmosys.co/incident-reporter/incident-reporter-angular-portal/-/merge_requests/3404#note_235242", "Update the screen recording")</f>
        <v/>
      </c>
      <c r="L110" t="inlineStr">
        <is>
          <t>2025-07-11 15:21:42.498 IST</t>
        </is>
      </c>
      <c r="M110" t="inlineStr">
        <is>
          <t>Soundariya B</t>
        </is>
      </c>
      <c r="N110" t="inlineStr">
        <is>
          <t>Yes</t>
        </is>
      </c>
      <c r="O110" t="inlineStr">
        <is>
          <t>Yes</t>
        </is>
      </c>
      <c r="P110" t="inlineStr">
        <is>
          <t>Soundariya B</t>
        </is>
      </c>
      <c r="Q110" t="inlineStr">
        <is>
          <t>Bad</t>
        </is>
      </c>
    </row>
    <row r="111">
      <c r="A111" t="inlineStr">
        <is>
          <t>nakshatra.b</t>
        </is>
      </c>
      <c r="B111" t="inlineStr">
        <is>
          <t>Nakshatra Bhatia</t>
        </is>
      </c>
      <c r="C111" t="inlineStr">
        <is>
          <t>nakshatra.b@osmosys.co</t>
        </is>
      </c>
      <c r="D111" t="inlineStr">
        <is>
          <t>incident-reporter</t>
        </is>
      </c>
      <c r="E111">
        <f>HYPERLINK("http://gitlab.osmosys.co/incident-reporter/incident-reporter-angular-portal", "OQSHA Portal")</f>
        <v/>
      </c>
      <c r="F111">
        <f>HYPERLINK("http://gitlab.osmosys.co/incident-reporter/incident-reporter-angular-portal/-/merge_requests/3404", "fix: fix in navigation of add/edit page")</f>
        <v/>
      </c>
      <c r="G111" t="inlineStr">
        <is>
          <t>add-page-navigation</t>
        </is>
      </c>
      <c r="H111" t="inlineStr">
        <is>
          <t>sprint-17</t>
        </is>
      </c>
      <c r="I111" t="inlineStr">
        <is>
          <t>merged</t>
        </is>
      </c>
      <c r="J111" t="inlineStr">
        <is>
          <t>ca9c1cf98136545017321929c7ec25a634acd760</t>
        </is>
      </c>
      <c r="K111">
        <f>HYPERLINK("http://gitlab.osmosys.co/incident-reporter/incident-reporter-angular-portal/-/merge_requests/3404#note_235898", "updated it")</f>
        <v/>
      </c>
      <c r="L111" t="inlineStr">
        <is>
          <t>2025-07-14 12:45:30.719 IST</t>
        </is>
      </c>
      <c r="M111" t="inlineStr">
        <is>
          <t>Nakshatra Bhatia</t>
        </is>
      </c>
      <c r="N111" t="inlineStr">
        <is>
          <t>No</t>
        </is>
      </c>
      <c r="O111" t="inlineStr">
        <is>
          <t>Yes</t>
        </is>
      </c>
      <c r="P111" t="inlineStr">
        <is>
          <t>Soundariya B</t>
        </is>
      </c>
      <c r="Q111" t="inlineStr">
        <is>
          <t>Bad</t>
        </is>
      </c>
    </row>
    <row r="112">
      <c r="A112" t="inlineStr">
        <is>
          <t>nakshatra.b</t>
        </is>
      </c>
      <c r="B112" t="inlineStr">
        <is>
          <t>Nakshatra Bhatia</t>
        </is>
      </c>
      <c r="C112" t="inlineStr">
        <is>
          <t>nakshatra.b@osmosys.co</t>
        </is>
      </c>
      <c r="D112" t="inlineStr">
        <is>
          <t>incident-reporter</t>
        </is>
      </c>
      <c r="E112">
        <f>HYPERLINK("http://gitlab.osmosys.co/incident-reporter/incident-reporter-angular-portal", "OQSHA Portal")</f>
        <v/>
      </c>
      <c r="F112">
        <f>HYPERLINK("http://gitlab.osmosys.co/incident-reporter/incident-reporter-angular-portal/-/merge_requests/3404", "fix: fix in navigation of add/edit page")</f>
        <v/>
      </c>
      <c r="G112" t="inlineStr">
        <is>
          <t>add-page-navigation</t>
        </is>
      </c>
      <c r="H112" t="inlineStr">
        <is>
          <t>sprint-17</t>
        </is>
      </c>
      <c r="I112" t="inlineStr">
        <is>
          <t>merged</t>
        </is>
      </c>
      <c r="J112" t="inlineStr">
        <is>
          <t>86f3403e08b95c27720101d41c24cae50e871a4e</t>
        </is>
      </c>
      <c r="K112">
        <f>HYPERLINK("http://gitlab.osmosys.co/incident-reporter/incident-reporter-angular-portal/-/merge_requests/3404#note_234238", "take the routes from the constant file")</f>
        <v/>
      </c>
      <c r="L112" t="inlineStr">
        <is>
          <t>2025-07-10 17:14:01.523 IST</t>
        </is>
      </c>
      <c r="M112" t="inlineStr">
        <is>
          <t>Soundariya B</t>
        </is>
      </c>
      <c r="N112" t="inlineStr">
        <is>
          <t>Yes</t>
        </is>
      </c>
      <c r="O112" t="inlineStr">
        <is>
          <t>Yes</t>
        </is>
      </c>
      <c r="P112" t="inlineStr">
        <is>
          <t>Soundariya B</t>
        </is>
      </c>
      <c r="Q112" t="inlineStr">
        <is>
          <t>Neutral</t>
        </is>
      </c>
    </row>
    <row r="113">
      <c r="A113" t="inlineStr">
        <is>
          <t>nakshatra.b</t>
        </is>
      </c>
      <c r="B113" t="inlineStr">
        <is>
          <t>Nakshatra Bhatia</t>
        </is>
      </c>
      <c r="C113" t="inlineStr">
        <is>
          <t>nakshatra.b@osmosys.co</t>
        </is>
      </c>
      <c r="D113" t="inlineStr">
        <is>
          <t>incident-reporter</t>
        </is>
      </c>
      <c r="E113">
        <f>HYPERLINK("http://gitlab.osmosys.co/incident-reporter/incident-reporter-angular-portal", "OQSHA Portal")</f>
        <v/>
      </c>
      <c r="F113">
        <f>HYPERLINK("http://gitlab.osmosys.co/incident-reporter/incident-reporter-angular-portal/-/merge_requests/3404", "fix: fix in navigation of add/edit page")</f>
        <v/>
      </c>
      <c r="G113" t="inlineStr">
        <is>
          <t>add-page-navigation</t>
        </is>
      </c>
      <c r="H113" t="inlineStr">
        <is>
          <t>sprint-17</t>
        </is>
      </c>
      <c r="I113" t="inlineStr">
        <is>
          <t>merged</t>
        </is>
      </c>
      <c r="J113" t="inlineStr">
        <is>
          <t>33e4f2ebe8af3f4e4d2f9dc8715b5817f5dfe02f</t>
        </is>
      </c>
      <c r="K113">
        <f>HYPERLINK("http://gitlab.osmosys.co/incident-reporter/incident-reporter-angular-portal/-/merge_requests/3404#note_234239", "The setTimeout is not a stable solution, please check and use a better approach If you want to use then, please confirm with Raj.
As I can see, you guys are increasing and reducing the seconds of the timeout, and trying to solve the issue, which is a bad approach")</f>
        <v/>
      </c>
      <c r="L113" t="inlineStr">
        <is>
          <t>2025-07-10 17:14:01.579 IST</t>
        </is>
      </c>
      <c r="M113" t="inlineStr">
        <is>
          <t>Soundariya B</t>
        </is>
      </c>
      <c r="N113" t="inlineStr">
        <is>
          <t>Yes</t>
        </is>
      </c>
      <c r="O113" t="inlineStr">
        <is>
          <t>Yes</t>
        </is>
      </c>
      <c r="P113" t="inlineStr">
        <is>
          <t>Soundariya B</t>
        </is>
      </c>
      <c r="Q113" t="inlineStr">
        <is>
          <t>Bad</t>
        </is>
      </c>
    </row>
    <row r="114">
      <c r="A114" t="inlineStr">
        <is>
          <t>nakshatra.b</t>
        </is>
      </c>
      <c r="B114" t="inlineStr">
        <is>
          <t>Nakshatra Bhatia</t>
        </is>
      </c>
      <c r="C114" t="inlineStr">
        <is>
          <t>nakshatra.b@osmosys.co</t>
        </is>
      </c>
      <c r="D114" t="inlineStr">
        <is>
          <t>incident-reporter</t>
        </is>
      </c>
      <c r="E114">
        <f>HYPERLINK("http://gitlab.osmosys.co/incident-reporter/incident-reporter-angular-portal", "OQSHA Portal")</f>
        <v/>
      </c>
      <c r="F114">
        <f>HYPERLINK("http://gitlab.osmosys.co/incident-reporter/incident-reporter-angular-portal/-/merge_requests/3404", "fix: fix in navigation of add/edit page")</f>
        <v/>
      </c>
      <c r="G114" t="inlineStr">
        <is>
          <t>add-page-navigation</t>
        </is>
      </c>
      <c r="H114" t="inlineStr">
        <is>
          <t>sprint-17</t>
        </is>
      </c>
      <c r="I114" t="inlineStr">
        <is>
          <t>merged</t>
        </is>
      </c>
      <c r="J114" t="inlineStr">
        <is>
          <t>33e4f2ebe8af3f4e4d2f9dc8715b5817f5dfe02f</t>
        </is>
      </c>
      <c r="K114">
        <f>HYPERLINK("http://gitlab.osmosys.co/incident-reporter/incident-reporter-angular-portal/-/merge_requests/3404#note_235154", "It was causing that delay in redirecting to list page. I removed it and it is working fine.It was not added by me. Due to this same delay is occurring even in PROD.")</f>
        <v/>
      </c>
      <c r="L114" t="inlineStr">
        <is>
          <t>2025-07-11 14:13:10.383 IST</t>
        </is>
      </c>
      <c r="M114" t="inlineStr">
        <is>
          <t>Nakshatra Bhatia</t>
        </is>
      </c>
      <c r="N114" t="inlineStr">
        <is>
          <t>No</t>
        </is>
      </c>
      <c r="O114" t="inlineStr">
        <is>
          <t>Yes</t>
        </is>
      </c>
      <c r="P114" t="inlineStr">
        <is>
          <t>Soundariya B</t>
        </is>
      </c>
      <c r="Q114" t="inlineStr">
        <is>
          <t>Bad</t>
        </is>
      </c>
    </row>
    <row r="115">
      <c r="A115" t="inlineStr">
        <is>
          <t>nakshatra.b</t>
        </is>
      </c>
      <c r="B115" t="inlineStr">
        <is>
          <t>Nakshatra Bhatia</t>
        </is>
      </c>
      <c r="C115" t="inlineStr">
        <is>
          <t>nakshatra.b@osmosys.co</t>
        </is>
      </c>
      <c r="D115" t="inlineStr">
        <is>
          <t>incident-reporter</t>
        </is>
      </c>
      <c r="E115">
        <f>HYPERLINK("http://gitlab.osmosys.co/incident-reporter/incident-reporter-angular-portal", "OQSHA Portal")</f>
        <v/>
      </c>
      <c r="F115">
        <f>HYPERLINK("http://gitlab.osmosys.co/incident-reporter/incident-reporter-angular-portal/-/merge_requests/3404", "fix: fix in navigation of add/edit page")</f>
        <v/>
      </c>
      <c r="G115" t="inlineStr">
        <is>
          <t>add-page-navigation</t>
        </is>
      </c>
      <c r="H115" t="inlineStr">
        <is>
          <t>sprint-17</t>
        </is>
      </c>
      <c r="I115" t="inlineStr">
        <is>
          <t>merged</t>
        </is>
      </c>
      <c r="J115" t="inlineStr">
        <is>
          <t>5b40d19a901117972b15a412c57c3a54e1e03deb</t>
        </is>
      </c>
      <c r="K115">
        <f>HYPERLINK("http://gitlab.osmosys.co/incident-reporter/incident-reporter-angular-portal/-/merge_requests/3404#note_234240", "take the routes from constant file")</f>
        <v/>
      </c>
      <c r="L115" t="inlineStr">
        <is>
          <t>2025-07-10 17:14:01.669 IST</t>
        </is>
      </c>
      <c r="M115" t="inlineStr">
        <is>
          <t>Soundariya B</t>
        </is>
      </c>
      <c r="N115" t="inlineStr">
        <is>
          <t>Yes</t>
        </is>
      </c>
      <c r="O115" t="inlineStr">
        <is>
          <t>Yes</t>
        </is>
      </c>
      <c r="P115" t="inlineStr">
        <is>
          <t>Soundariya B</t>
        </is>
      </c>
      <c r="Q115" t="inlineStr">
        <is>
          <t>Neutral</t>
        </is>
      </c>
    </row>
    <row r="116">
      <c r="A116" t="inlineStr">
        <is>
          <t>nakshatra.b</t>
        </is>
      </c>
      <c r="B116" t="inlineStr">
        <is>
          <t>Nakshatra Bhatia</t>
        </is>
      </c>
      <c r="C116" t="inlineStr">
        <is>
          <t>nakshatra.b@osmosys.co</t>
        </is>
      </c>
      <c r="D116" t="inlineStr">
        <is>
          <t>incident-reporter</t>
        </is>
      </c>
      <c r="E116">
        <f>HYPERLINK("http://gitlab.osmosys.co/incident-reporter/incident-reporter-angular-portal", "OQSHA Portal")</f>
        <v/>
      </c>
      <c r="F116">
        <f>HYPERLINK("http://gitlab.osmosys.co/incident-reporter/incident-reporter-angular-portal/-/merge_requests/3404", "fix: fix in navigation of add/edit page")</f>
        <v/>
      </c>
      <c r="G116" t="inlineStr">
        <is>
          <t>add-page-navigation</t>
        </is>
      </c>
      <c r="H116" t="inlineStr">
        <is>
          <t>sprint-17</t>
        </is>
      </c>
      <c r="I116" t="inlineStr">
        <is>
          <t>merged</t>
        </is>
      </c>
      <c r="J116" t="inlineStr">
        <is>
          <t>e200c2c3f6fc7c69eabba8330febc7c1a7ff8f92</t>
        </is>
      </c>
      <c r="K116">
        <f>HYPERLINK("http://gitlab.osmosys.co/incident-reporter/incident-reporter-angular-portal/-/merge_requests/3404#note_234241", "Remove this")</f>
        <v/>
      </c>
      <c r="L116" t="inlineStr">
        <is>
          <t>2025-07-10 17:14:01.758 IST</t>
        </is>
      </c>
      <c r="M116" t="inlineStr">
        <is>
          <t>Soundariya B</t>
        </is>
      </c>
      <c r="N116" t="inlineStr">
        <is>
          <t>Yes</t>
        </is>
      </c>
      <c r="O116" t="inlineStr">
        <is>
          <t>Yes</t>
        </is>
      </c>
      <c r="P116" t="inlineStr">
        <is>
          <t>Soundariya B</t>
        </is>
      </c>
      <c r="Q116" t="inlineStr">
        <is>
          <t>Good</t>
        </is>
      </c>
    </row>
    <row r="117">
      <c r="A117" t="inlineStr">
        <is>
          <t>nakshatra.b</t>
        </is>
      </c>
      <c r="B117" t="inlineStr">
        <is>
          <t>Nakshatra Bhatia</t>
        </is>
      </c>
      <c r="C117" t="inlineStr">
        <is>
          <t>nakshatra.b@osmosys.co</t>
        </is>
      </c>
      <c r="D117" t="inlineStr">
        <is>
          <t>incident-reporter</t>
        </is>
      </c>
      <c r="E117">
        <f>HYPERLINK("http://gitlab.osmosys.co/incident-reporter/incident-reporter-angular-portal", "OQSHA Portal")</f>
        <v/>
      </c>
      <c r="F117">
        <f>HYPERLINK("http://gitlab.osmosys.co/incident-reporter/incident-reporter-angular-portal/-/merge_requests/3404", "fix: fix in navigation of add/edit page")</f>
        <v/>
      </c>
      <c r="G117" t="inlineStr">
        <is>
          <t>add-page-navigation</t>
        </is>
      </c>
      <c r="H117" t="inlineStr">
        <is>
          <t>sprint-17</t>
        </is>
      </c>
      <c r="I117" t="inlineStr">
        <is>
          <t>merged</t>
        </is>
      </c>
      <c r="J117" t="inlineStr">
        <is>
          <t>d0c9e87e5cd284b72f4c41d1b1e5a3adc2b8f549</t>
        </is>
      </c>
      <c r="K117">
        <f>HYPERLINK("http://gitlab.osmosys.co/incident-reporter/incident-reporter-angular-portal/-/merge_requests/3404#note_234242", "Take the routes from constant file")</f>
        <v/>
      </c>
      <c r="L117" t="inlineStr">
        <is>
          <t>2025-07-10 17:14:01.813 IST</t>
        </is>
      </c>
      <c r="M117" t="inlineStr">
        <is>
          <t>Soundariya B</t>
        </is>
      </c>
      <c r="N117" t="inlineStr">
        <is>
          <t>Yes</t>
        </is>
      </c>
      <c r="O117" t="inlineStr">
        <is>
          <t>Yes</t>
        </is>
      </c>
      <c r="P117" t="inlineStr">
        <is>
          <t>Soundariya B</t>
        </is>
      </c>
      <c r="Q117" t="inlineStr">
        <is>
          <t>Neutral</t>
        </is>
      </c>
    </row>
    <row r="118">
      <c r="A118" t="inlineStr">
        <is>
          <t>nakshatra.b</t>
        </is>
      </c>
      <c r="B118" t="inlineStr">
        <is>
          <t>Nakshatra Bhatia</t>
        </is>
      </c>
      <c r="C118" t="inlineStr">
        <is>
          <t>nakshatra.b@osmosys.co</t>
        </is>
      </c>
      <c r="D118" t="inlineStr">
        <is>
          <t>incident-reporter</t>
        </is>
      </c>
      <c r="E118">
        <f>HYPERLINK("http://gitlab.osmosys.co/incident-reporter/incident-reporter-angular-portal", "OQSHA Portal")</f>
        <v/>
      </c>
      <c r="F118">
        <f>HYPERLINK("http://gitlab.osmosys.co/incident-reporter/incident-reporter-angular-portal/-/merge_requests/3404", "fix: fix in navigation of add/edit page")</f>
        <v/>
      </c>
      <c r="G118" t="inlineStr">
        <is>
          <t>add-page-navigation</t>
        </is>
      </c>
      <c r="H118" t="inlineStr">
        <is>
          <t>sprint-17</t>
        </is>
      </c>
      <c r="I118" t="inlineStr">
        <is>
          <t>merged</t>
        </is>
      </c>
      <c r="J118" t="inlineStr">
        <is>
          <t>e176fbe1f900e86c176aa9a26869a16c362e6163</t>
        </is>
      </c>
      <c r="K118">
        <f>HYPERLINK("http://gitlab.osmosys.co/incident-reporter/incident-reporter-angular-portal/-/merge_requests/3404#note_235241", "Remove the commented code")</f>
        <v/>
      </c>
      <c r="L118" t="inlineStr">
        <is>
          <t>2025-07-11 15:21:42.440 IST</t>
        </is>
      </c>
      <c r="M118" t="inlineStr">
        <is>
          <t>Soundariya B</t>
        </is>
      </c>
      <c r="N118" t="inlineStr">
        <is>
          <t>Yes</t>
        </is>
      </c>
      <c r="O118" t="inlineStr">
        <is>
          <t>Yes</t>
        </is>
      </c>
      <c r="P118" t="inlineStr">
        <is>
          <t>Soundariya B</t>
        </is>
      </c>
      <c r="Q118" t="inlineStr">
        <is>
          <t>Good</t>
        </is>
      </c>
    </row>
    <row r="119">
      <c r="A119" t="inlineStr">
        <is>
          <t>nakshatra.b</t>
        </is>
      </c>
      <c r="B119" t="inlineStr">
        <is>
          <t>Nakshatra Bhatia</t>
        </is>
      </c>
      <c r="C119" t="inlineStr">
        <is>
          <t>nakshatra.b@osmosys.co</t>
        </is>
      </c>
      <c r="D119" t="inlineStr">
        <is>
          <t>incident-reporter</t>
        </is>
      </c>
      <c r="E119">
        <f>HYPERLINK("http://gitlab.osmosys.co/incident-reporter/incident-reporter-angular-portal", "OQSHA Portal")</f>
        <v/>
      </c>
      <c r="F119">
        <f>HYPERLINK("http://gitlab.osmosys.co/incident-reporter/incident-reporter-angular-portal/-/merge_requests/3402", "feat: add query param for contractor list page")</f>
        <v/>
      </c>
      <c r="G119" t="inlineStr">
        <is>
          <t>feat/add-contrator-list-param</t>
        </is>
      </c>
      <c r="H119" t="inlineStr">
        <is>
          <t>sprint-17</t>
        </is>
      </c>
      <c r="I119" t="inlineStr">
        <is>
          <t>merged</t>
        </is>
      </c>
      <c r="J119" t="inlineStr">
        <is>
          <t>9a944916a73e070a5f534c1d54451be5810848a8</t>
        </is>
      </c>
      <c r="K119">
        <f>HYPERLINK("http://gitlab.osmosys.co/incident-reporter/incident-reporter-angular-portal/-/merge_requests/3402#note_233913", "The boolean value should be dynamic not static because its possible to use this api in other places other than contractor list page in future so pass argument and use dynamically")</f>
        <v/>
      </c>
      <c r="L119" t="inlineStr">
        <is>
          <t>2025-07-10 01:27:22.325 IST</t>
        </is>
      </c>
      <c r="M119" t="inlineStr">
        <is>
          <t>Soundariya B</t>
        </is>
      </c>
      <c r="N119" t="inlineStr">
        <is>
          <t>Yes</t>
        </is>
      </c>
      <c r="O119" t="inlineStr">
        <is>
          <t>Yes</t>
        </is>
      </c>
      <c r="P119" t="inlineStr">
        <is>
          <t>Soundariya B</t>
        </is>
      </c>
      <c r="Q119" t="inlineStr">
        <is>
          <t>Bad</t>
        </is>
      </c>
    </row>
    <row r="120">
      <c r="A120" t="inlineStr">
        <is>
          <t>nakshatra.b</t>
        </is>
      </c>
      <c r="B120" t="inlineStr">
        <is>
          <t>Nakshatra Bhatia</t>
        </is>
      </c>
      <c r="C120" t="inlineStr">
        <is>
          <t>nakshatra.b@osmosys.co</t>
        </is>
      </c>
      <c r="D120" t="inlineStr">
        <is>
          <t>incident-reporter</t>
        </is>
      </c>
      <c r="E120">
        <f>HYPERLINK("http://gitlab.osmosys.co/incident-reporter/incident-reporter-angular-portal", "OQSHA Portal")</f>
        <v/>
      </c>
      <c r="F120">
        <f>HYPERLINK("http://gitlab.osmosys.co/incident-reporter/incident-reporter-angular-portal/-/merge_requests/3402", "feat: add query param for contractor list page")</f>
        <v/>
      </c>
      <c r="G120" t="inlineStr">
        <is>
          <t>feat/add-contrator-list-param</t>
        </is>
      </c>
      <c r="H120" t="inlineStr">
        <is>
          <t>sprint-17</t>
        </is>
      </c>
      <c r="I120" t="inlineStr">
        <is>
          <t>merged</t>
        </is>
      </c>
      <c r="J120" t="inlineStr">
        <is>
          <t>375d1f260a03f9ca5724d89ff477030051c8656d</t>
        </is>
      </c>
      <c r="K120">
        <f>HYPERLINK("http://gitlab.osmosys.co/incident-reporter/incident-reporter-angular-portal/-/merge_requests/3402#note_233914", "The boolean value should be dynamic not static because its possible to use this api in other places other than contractor list page in future so pass argument and use dynamically")</f>
        <v/>
      </c>
      <c r="L120" t="inlineStr">
        <is>
          <t>2025-07-10 01:27:22.414 IST</t>
        </is>
      </c>
      <c r="M120" t="inlineStr">
        <is>
          <t>Soundariya B</t>
        </is>
      </c>
      <c r="N120" t="inlineStr">
        <is>
          <t>Yes</t>
        </is>
      </c>
      <c r="O120" t="inlineStr">
        <is>
          <t>Yes</t>
        </is>
      </c>
      <c r="P120" t="inlineStr">
        <is>
          <t>Soundariya B</t>
        </is>
      </c>
      <c r="Q120" t="inlineStr">
        <is>
          <t>Bad</t>
        </is>
      </c>
    </row>
    <row r="121">
      <c r="A121" t="inlineStr">
        <is>
          <t>nakshatra.b</t>
        </is>
      </c>
      <c r="B121" t="inlineStr">
        <is>
          <t>Nakshatra Bhatia</t>
        </is>
      </c>
      <c r="C121" t="inlineStr">
        <is>
          <t>nakshatra.b@osmosys.co</t>
        </is>
      </c>
      <c r="D121" t="inlineStr">
        <is>
          <t>incident-reporter</t>
        </is>
      </c>
      <c r="E121">
        <f>HYPERLINK("http://gitlab.osmosys.co/incident-reporter/incident-reporter-angular-portal", "OQSHA Portal")</f>
        <v/>
      </c>
      <c r="F121">
        <f>HYPERLINK("http://gitlab.osmosys.co/incident-reporter/incident-reporter-angular-portal/-/merge_requests/3402", "feat: add query param for contractor list page")</f>
        <v/>
      </c>
      <c r="G121" t="inlineStr">
        <is>
          <t>feat/add-contrator-list-param</t>
        </is>
      </c>
      <c r="H121" t="inlineStr">
        <is>
          <t>sprint-17</t>
        </is>
      </c>
      <c r="I121" t="inlineStr">
        <is>
          <t>merged</t>
        </is>
      </c>
      <c r="J121" t="inlineStr">
        <is>
          <t>7a01cfbab5a53416647ab88d87e9b1d621cd2e70</t>
        </is>
      </c>
      <c r="K121">
        <f>HYPERLINK("http://gitlab.osmosys.co/incident-reporter/incident-reporter-angular-portal/-/merge_requests/3402#note_233915", "Remove this")</f>
        <v/>
      </c>
      <c r="L121" t="inlineStr">
        <is>
          <t>2025-07-10 01:27:22.493 IST</t>
        </is>
      </c>
      <c r="M121" t="inlineStr">
        <is>
          <t>Soundariya B</t>
        </is>
      </c>
      <c r="N121" t="inlineStr">
        <is>
          <t>Yes</t>
        </is>
      </c>
      <c r="O121" t="inlineStr">
        <is>
          <t>Yes</t>
        </is>
      </c>
      <c r="P121" t="inlineStr">
        <is>
          <t>Soundariya B</t>
        </is>
      </c>
      <c r="Q121" t="inlineStr">
        <is>
          <t>Bad</t>
        </is>
      </c>
    </row>
    <row r="122">
      <c r="A122" t="inlineStr">
        <is>
          <t>nakshatra.b</t>
        </is>
      </c>
      <c r="B122" t="inlineStr">
        <is>
          <t>Nakshatra Bhatia</t>
        </is>
      </c>
      <c r="C122" t="inlineStr">
        <is>
          <t>nakshatra.b@osmosys.co</t>
        </is>
      </c>
      <c r="D122" t="inlineStr">
        <is>
          <t>incident-reporter</t>
        </is>
      </c>
      <c r="E122">
        <f>HYPERLINK("http://gitlab.osmosys.co/incident-reporter/incident-reporter-angular-portal", "OQSHA Portal")</f>
        <v/>
      </c>
      <c r="F122">
        <f>HYPERLINK("http://gitlab.osmosys.co/incident-reporter/incident-reporter-angular-portal/-/merge_requests/3402", "feat: add query param for contractor list page")</f>
        <v/>
      </c>
      <c r="G122" t="inlineStr">
        <is>
          <t>feat/add-contrator-list-param</t>
        </is>
      </c>
      <c r="H122" t="inlineStr">
        <is>
          <t>sprint-17</t>
        </is>
      </c>
      <c r="I122" t="inlineStr">
        <is>
          <t>merged</t>
        </is>
      </c>
      <c r="J122" t="inlineStr">
        <is>
          <t>c3e859e4d9b81174d9356e49ed59963d659f114c</t>
        </is>
      </c>
      <c r="K122">
        <f>HYPERLINK("http://gitlab.osmosys.co/incident-reporter/incident-reporter-angular-portal/-/merge_requests/3402#note_233916", "With the query how data rendering on it so can you please add the SS or screen recording")</f>
        <v/>
      </c>
      <c r="L122" t="inlineStr">
        <is>
          <t>2025-07-10 01:27:22.537 IST</t>
        </is>
      </c>
      <c r="M122" t="inlineStr">
        <is>
          <t>Soundariya B</t>
        </is>
      </c>
      <c r="N122" t="inlineStr">
        <is>
          <t>Yes</t>
        </is>
      </c>
      <c r="O122" t="inlineStr">
        <is>
          <t>Yes</t>
        </is>
      </c>
      <c r="P122" t="inlineStr">
        <is>
          <t>Soundariya B</t>
        </is>
      </c>
      <c r="Q122" t="inlineStr">
        <is>
          <t>Neutral</t>
        </is>
      </c>
    </row>
    <row r="123">
      <c r="A123" t="inlineStr">
        <is>
          <t>nakshatra.b</t>
        </is>
      </c>
      <c r="B123" t="inlineStr">
        <is>
          <t>Nakshatra Bhatia</t>
        </is>
      </c>
      <c r="C123" t="inlineStr">
        <is>
          <t>nakshatra.b@osmosys.co</t>
        </is>
      </c>
      <c r="D123" t="inlineStr">
        <is>
          <t>incident-reporter</t>
        </is>
      </c>
      <c r="E123">
        <f>HYPERLINK("http://gitlab.osmosys.co/incident-reporter/incident-reporter-angular-portal", "OQSHA Portal")</f>
        <v/>
      </c>
      <c r="F123">
        <f>HYPERLINK("http://gitlab.osmosys.co/incident-reporter/incident-reporter-angular-portal/-/merge_requests/3402", "feat: add query param for contractor list page")</f>
        <v/>
      </c>
      <c r="G123" t="inlineStr">
        <is>
          <t>feat/add-contrator-list-param</t>
        </is>
      </c>
      <c r="H123" t="inlineStr">
        <is>
          <t>sprint-17</t>
        </is>
      </c>
      <c r="I123" t="inlineStr">
        <is>
          <t>merged</t>
        </is>
      </c>
      <c r="J123" t="inlineStr">
        <is>
          <t>c3e859e4d9b81174d9356e49ed59963d659f114c</t>
        </is>
      </c>
      <c r="K123">
        <f>HYPERLINK("http://gitlab.osmosys.co/incident-reporter/incident-reporter-angular-portal/-/merge_requests/3402#note_233926", "Attached please check. Currently API task is not yet implemented.Currently it is rendering normal list page.")</f>
        <v/>
      </c>
      <c r="L123" t="inlineStr">
        <is>
          <t>2025-07-10 02:46:25.320 IST</t>
        </is>
      </c>
      <c r="M123" t="inlineStr">
        <is>
          <t>Nakshatra Bhatia</t>
        </is>
      </c>
      <c r="N123" t="inlineStr">
        <is>
          <t>No</t>
        </is>
      </c>
      <c r="O123" t="inlineStr">
        <is>
          <t>Yes</t>
        </is>
      </c>
      <c r="P123" t="inlineStr">
        <is>
          <t>Soundariya B</t>
        </is>
      </c>
      <c r="Q123" t="inlineStr">
        <is>
          <t>Neutral</t>
        </is>
      </c>
    </row>
    <row r="124">
      <c r="A124" t="inlineStr">
        <is>
          <t>nakshatra.b</t>
        </is>
      </c>
      <c r="B124" t="inlineStr">
        <is>
          <t>Nakshatra Bhatia</t>
        </is>
      </c>
      <c r="C124" t="inlineStr">
        <is>
          <t>nakshatra.b@osmosys.co</t>
        </is>
      </c>
      <c r="D124" t="inlineStr">
        <is>
          <t>incident-reporter</t>
        </is>
      </c>
      <c r="E124">
        <f>HYPERLINK("http://gitlab.osmosys.co/incident-reporter/incident-reporter-angular-portal", "OQSHA Portal")</f>
        <v/>
      </c>
      <c r="F124">
        <f>HYPERLINK("http://gitlab.osmosys.co/incident-reporter/incident-reporter-angular-portal/-/merge_requests/3399", "feat: modify contract duration column as optional")</f>
        <v/>
      </c>
      <c r="G124" t="inlineStr">
        <is>
          <t>feat/contractor-date</t>
        </is>
      </c>
      <c r="H124" t="inlineStr">
        <is>
          <t>sprint-17</t>
        </is>
      </c>
      <c r="I124" t="inlineStr">
        <is>
          <t>merged</t>
        </is>
      </c>
      <c r="J124" t="inlineStr">
        <is>
          <t>ff1c2c26dfbbc1dbeddb1f2f6a090d818c7b983a</t>
        </is>
      </c>
      <c r="K124">
        <f>HYPERLINK("http://gitlab.osmosys.co/incident-reporter/incident-reporter-angular-portal/-/merge_requests/3399#note_233850", "Remove this and don't leave empty the catch block")</f>
        <v/>
      </c>
      <c r="L124" t="inlineStr">
        <is>
          <t>2025-07-09 21:50:54.770 IST</t>
        </is>
      </c>
      <c r="M124" t="inlineStr">
        <is>
          <t>Soundariya B</t>
        </is>
      </c>
      <c r="N124" t="inlineStr">
        <is>
          <t>Yes</t>
        </is>
      </c>
      <c r="O124" t="inlineStr">
        <is>
          <t>Yes</t>
        </is>
      </c>
      <c r="P124" t="inlineStr">
        <is>
          <t>Soundariya B</t>
        </is>
      </c>
      <c r="Q124" t="inlineStr">
        <is>
          <t>Bad</t>
        </is>
      </c>
    </row>
    <row r="125">
      <c r="A125" t="inlineStr">
        <is>
          <t>nakshatra.b</t>
        </is>
      </c>
      <c r="B125" t="inlineStr">
        <is>
          <t>Nakshatra Bhatia</t>
        </is>
      </c>
      <c r="C125" t="inlineStr">
        <is>
          <t>nakshatra.b@osmosys.co</t>
        </is>
      </c>
      <c r="D125" t="inlineStr">
        <is>
          <t>incident-reporter</t>
        </is>
      </c>
      <c r="E125">
        <f>HYPERLINK("http://gitlab.osmosys.co/incident-reporter/incident-reporter-angular-portal", "OQSHA Portal")</f>
        <v/>
      </c>
      <c r="F125">
        <f>HYPERLINK("http://gitlab.osmosys.co/incident-reporter/incident-reporter-angular-portal/-/merge_requests/3399", "feat: modify contract duration column as optional")</f>
        <v/>
      </c>
      <c r="G125" t="inlineStr">
        <is>
          <t>feat/contractor-date</t>
        </is>
      </c>
      <c r="H125" t="inlineStr">
        <is>
          <t>sprint-17</t>
        </is>
      </c>
      <c r="I125" t="inlineStr">
        <is>
          <t>merged</t>
        </is>
      </c>
      <c r="J125" t="inlineStr">
        <is>
          <t>bd4933fc3a52fa994fd25a6e0ce27bad771a30e3</t>
        </is>
      </c>
      <c r="K125">
        <f>HYPERLINK("http://gitlab.osmosys.co/incident-reporter/incident-reporter-angular-portal/-/merge_requests/3399#note_233851", "Remove this")</f>
        <v/>
      </c>
      <c r="L125" t="inlineStr">
        <is>
          <t>2025-07-09 21:50:54.860 IST</t>
        </is>
      </c>
      <c r="M125" t="inlineStr">
        <is>
          <t>Soundariya B</t>
        </is>
      </c>
      <c r="N125" t="inlineStr">
        <is>
          <t>Yes</t>
        </is>
      </c>
      <c r="O125" t="inlineStr">
        <is>
          <t>Yes</t>
        </is>
      </c>
      <c r="P125" t="inlineStr">
        <is>
          <t>Soundariya B</t>
        </is>
      </c>
      <c r="Q125" t="inlineStr">
        <is>
          <t>Bad</t>
        </is>
      </c>
    </row>
    <row r="126">
      <c r="A126" t="inlineStr">
        <is>
          <t>nakshatra.b</t>
        </is>
      </c>
      <c r="B126" t="inlineStr">
        <is>
          <t>Nakshatra Bhatia</t>
        </is>
      </c>
      <c r="C126" t="inlineStr">
        <is>
          <t>nakshatra.b@osmosys.co</t>
        </is>
      </c>
      <c r="D126" t="inlineStr">
        <is>
          <t>incident-reporter</t>
        </is>
      </c>
      <c r="E126">
        <f>HYPERLINK("http://gitlab.osmosys.co/incident-reporter/incident-reporter-angular-portal", "OQSHA Portal")</f>
        <v/>
      </c>
      <c r="F126">
        <f>HYPERLINK("http://gitlab.osmosys.co/incident-reporter/incident-reporter-angular-portal/-/merge_requests/3399", "feat: modify contract duration column as optional")</f>
        <v/>
      </c>
      <c r="G126" t="inlineStr">
        <is>
          <t>feat/contractor-date</t>
        </is>
      </c>
      <c r="H126" t="inlineStr">
        <is>
          <t>sprint-17</t>
        </is>
      </c>
      <c r="I126" t="inlineStr">
        <is>
          <t>merged</t>
        </is>
      </c>
      <c r="J126" t="inlineStr">
        <is>
          <t>58a4e9b27311c536fb6bf4742986a40168e40d36</t>
        </is>
      </c>
      <c r="K126">
        <f>HYPERLINK("http://gitlab.osmosys.co/incident-reporter/incident-reporter-angular-portal/-/merge_requests/3399#note_233852", "Remove this when its needed we can get from this commit")</f>
        <v/>
      </c>
      <c r="L126" t="inlineStr">
        <is>
          <t>2025-07-09 21:50:54.954 IST</t>
        </is>
      </c>
      <c r="M126" t="inlineStr">
        <is>
          <t>Soundariya B</t>
        </is>
      </c>
      <c r="N126" t="inlineStr">
        <is>
          <t>Yes</t>
        </is>
      </c>
      <c r="O126" t="inlineStr">
        <is>
          <t>Yes</t>
        </is>
      </c>
      <c r="P126" t="inlineStr">
        <is>
          <t>Soundariya B</t>
        </is>
      </c>
      <c r="Q126" t="inlineStr">
        <is>
          <t>Bad</t>
        </is>
      </c>
    </row>
    <row r="127">
      <c r="A127" t="inlineStr">
        <is>
          <t>nakshatra.b</t>
        </is>
      </c>
      <c r="B127" t="inlineStr">
        <is>
          <t>Nakshatra Bhatia</t>
        </is>
      </c>
      <c r="C127" t="inlineStr">
        <is>
          <t>nakshatra.b@osmosys.co</t>
        </is>
      </c>
      <c r="D127" t="inlineStr">
        <is>
          <t>incident-reporter</t>
        </is>
      </c>
      <c r="E127">
        <f>HYPERLINK("http://gitlab.osmosys.co/incident-reporter/incident-reporter-angular-portal", "OQSHA Portal")</f>
        <v/>
      </c>
      <c r="F127">
        <f>HYPERLINK("http://gitlab.osmosys.co/incident-reporter/incident-reporter-angular-portal/-/merge_requests/3399", "feat: modify contract duration column as optional")</f>
        <v/>
      </c>
      <c r="G127" t="inlineStr">
        <is>
          <t>feat/contractor-date</t>
        </is>
      </c>
      <c r="H127" t="inlineStr">
        <is>
          <t>sprint-17</t>
        </is>
      </c>
      <c r="I127" t="inlineStr">
        <is>
          <t>merged</t>
        </is>
      </c>
      <c r="J127" t="inlineStr">
        <is>
          <t>1483e241e392ab8520401d574e903bf50d70bd03</t>
        </is>
      </c>
      <c r="K127">
        <f>HYPERLINK("http://gitlab.osmosys.co/incident-reporter/incident-reporter-angular-portal/-/merge_requests/3399#note_233853", "Remove this when its needed we can get from this commit")</f>
        <v/>
      </c>
      <c r="L127" t="inlineStr">
        <is>
          <t>2025-07-09 21:50:55.005 IST</t>
        </is>
      </c>
      <c r="M127" t="inlineStr">
        <is>
          <t>Soundariya B</t>
        </is>
      </c>
      <c r="N127" t="inlineStr">
        <is>
          <t>Yes</t>
        </is>
      </c>
      <c r="O127" t="inlineStr">
        <is>
          <t>Yes</t>
        </is>
      </c>
      <c r="P127" t="inlineStr">
        <is>
          <t>Soundariya B</t>
        </is>
      </c>
      <c r="Q127" t="inlineStr">
        <is>
          <t>Bad</t>
        </is>
      </c>
    </row>
    <row r="128">
      <c r="A128" t="inlineStr">
        <is>
          <t>nakshatra.b</t>
        </is>
      </c>
      <c r="B128" t="inlineStr">
        <is>
          <t>Nakshatra Bhatia</t>
        </is>
      </c>
      <c r="C128" t="inlineStr">
        <is>
          <t>nakshatra.b@osmosys.co</t>
        </is>
      </c>
      <c r="D128" t="inlineStr">
        <is>
          <t>incident-reporter</t>
        </is>
      </c>
      <c r="E128">
        <f>HYPERLINK("http://gitlab.osmosys.co/incident-reporter/incident-reporter-app", "OQSHA Mobile App")</f>
        <v/>
      </c>
      <c r="F128">
        <f>HYPERLINK("http://gitlab.osmosys.co/incident-reporter/incident-reporter-app/-/merge_requests/1853", "fix: fix in notification toaster message")</f>
        <v/>
      </c>
      <c r="G128" t="inlineStr">
        <is>
          <t>fix/notification-toast</t>
        </is>
      </c>
      <c r="H128" t="inlineStr">
        <is>
          <t>sprint-18</t>
        </is>
      </c>
      <c r="I128" t="inlineStr">
        <is>
          <t>opened</t>
        </is>
      </c>
      <c r="J128" t="inlineStr"/>
      <c r="K128" t="inlineStr"/>
      <c r="L128" t="inlineStr"/>
      <c r="M128" t="inlineStr"/>
      <c r="N128" t="inlineStr"/>
      <c r="O128" t="inlineStr"/>
      <c r="P128" t="inlineStr"/>
      <c r="Q128" t="inlineStr"/>
    </row>
    <row r="129">
      <c r="A129" t="inlineStr">
        <is>
          <t>nakshatra.b</t>
        </is>
      </c>
      <c r="B129" t="inlineStr">
        <is>
          <t>Nakshatra Bhatia</t>
        </is>
      </c>
      <c r="C129" t="inlineStr">
        <is>
          <t>nakshatra.b@osmosys.co</t>
        </is>
      </c>
      <c r="D129" t="inlineStr">
        <is>
          <t>incident-reporter</t>
        </is>
      </c>
      <c r="E129">
        <f>HYPERLINK("http://gitlab.osmosys.co/incident-reporter/incident-reporter-app", "OQSHA Mobile App")</f>
        <v/>
      </c>
      <c r="F129">
        <f>HYPERLINK("http://gitlab.osmosys.co/incident-reporter/incident-reporter-app/-/merge_requests/1839", "fix: remove duetime in incident page")</f>
        <v/>
      </c>
      <c r="G129" t="inlineStr">
        <is>
          <t>fix/duetime-removal</t>
        </is>
      </c>
      <c r="H129" t="inlineStr">
        <is>
          <t>sprint-18</t>
        </is>
      </c>
      <c r="I129" t="inlineStr">
        <is>
          <t>merged</t>
        </is>
      </c>
      <c r="J129" t="inlineStr">
        <is>
          <t>e069df2969c1da29edee5a8b1ef24ab1a18e5c7c</t>
        </is>
      </c>
      <c r="K129">
        <f>HYPERLINK("http://gitlab.osmosys.co/incident-reporter/incident-reporter-app/-/merge_requests/1839#note_243246", "Already its formatting the data in next so this change is not required")</f>
        <v/>
      </c>
      <c r="L129" t="inlineStr">
        <is>
          <t>2025-07-28 19:16:08.106 IST</t>
        </is>
      </c>
      <c r="M129" t="inlineStr">
        <is>
          <t>Soundariya B</t>
        </is>
      </c>
      <c r="N129" t="inlineStr">
        <is>
          <t>Yes</t>
        </is>
      </c>
      <c r="O129" t="inlineStr">
        <is>
          <t>Yes</t>
        </is>
      </c>
      <c r="P129" t="inlineStr">
        <is>
          <t>Soundariya B</t>
        </is>
      </c>
      <c r="Q129" t="inlineStr">
        <is>
          <t>Bad</t>
        </is>
      </c>
    </row>
    <row r="130">
      <c r="A130" t="inlineStr">
        <is>
          <t>nakshatra.b</t>
        </is>
      </c>
      <c r="B130" t="inlineStr">
        <is>
          <t>Nakshatra Bhatia</t>
        </is>
      </c>
      <c r="C130" t="inlineStr">
        <is>
          <t>nakshatra.b@osmosys.co</t>
        </is>
      </c>
      <c r="D130" t="inlineStr">
        <is>
          <t>incident-reporter</t>
        </is>
      </c>
      <c r="E130">
        <f>HYPERLINK("http://gitlab.osmosys.co/incident-reporter/incident-reporter-app", "OQSHA Mobile App")</f>
        <v/>
      </c>
      <c r="F130">
        <f>HYPERLINK("http://gitlab.osmosys.co/incident-reporter/incident-reporter-app/-/merge_requests/1839", "fix: remove duetime in incident page")</f>
        <v/>
      </c>
      <c r="G130" t="inlineStr">
        <is>
          <t>fix/duetime-removal</t>
        </is>
      </c>
      <c r="H130" t="inlineStr">
        <is>
          <t>sprint-18</t>
        </is>
      </c>
      <c r="I130" t="inlineStr">
        <is>
          <t>merged</t>
        </is>
      </c>
      <c r="J130" t="inlineStr">
        <is>
          <t>e069df2969c1da29edee5a8b1ef24ab1a18e5c7c</t>
        </is>
      </c>
      <c r="K130">
        <f>HYPERLINK("http://gitlab.osmosys.co/incident-reporter/incident-reporter-app/-/merge_requests/1839#note_243261", "Fixed it and added a format for keeping it as string else we need to declare type as Moment.moment which is less suitable.")</f>
        <v/>
      </c>
      <c r="L130" t="inlineStr">
        <is>
          <t>2025-07-28 19:35:20.176 IST</t>
        </is>
      </c>
      <c r="M130" t="inlineStr">
        <is>
          <t>Nakshatra Bhatia</t>
        </is>
      </c>
      <c r="N130" t="inlineStr">
        <is>
          <t>No</t>
        </is>
      </c>
      <c r="O130" t="inlineStr">
        <is>
          <t>Yes</t>
        </is>
      </c>
      <c r="P130" t="inlineStr">
        <is>
          <t>Soundariya B</t>
        </is>
      </c>
      <c r="Q130" t="inlineStr">
        <is>
          <t>Bad</t>
        </is>
      </c>
    </row>
    <row r="131">
      <c r="A131" t="inlineStr">
        <is>
          <t>nakshatra.b</t>
        </is>
      </c>
      <c r="B131" t="inlineStr">
        <is>
          <t>Nakshatra Bhatia</t>
        </is>
      </c>
      <c r="C131" t="inlineStr">
        <is>
          <t>nakshatra.b@osmosys.co</t>
        </is>
      </c>
      <c r="D131" t="inlineStr">
        <is>
          <t>incident-reporter</t>
        </is>
      </c>
      <c r="E131">
        <f>HYPERLINK("http://gitlab.osmosys.co/incident-reporter/incident-reporter-app", "OQSHA Mobile App")</f>
        <v/>
      </c>
      <c r="F131">
        <f>HYPERLINK("http://gitlab.osmosys.co/incident-reporter/incident-reporter-app/-/merge_requests/1839", "fix: remove duetime in incident page")</f>
        <v/>
      </c>
      <c r="G131" t="inlineStr">
        <is>
          <t>fix/duetime-removal</t>
        </is>
      </c>
      <c r="H131" t="inlineStr">
        <is>
          <t>sprint-18</t>
        </is>
      </c>
      <c r="I131" t="inlineStr">
        <is>
          <t>merged</t>
        </is>
      </c>
      <c r="J131" t="inlineStr">
        <is>
          <t>81dfc78c1b562fbbb99b4cf0852cf8d1e7a370ae</t>
        </is>
      </c>
      <c r="K131">
        <f>HYPERLINK("http://gitlab.osmosys.co/incident-reporter/incident-reporter-app/-/merge_requests/1839#note_243247", "Remove this .concat(' ')")</f>
        <v/>
      </c>
      <c r="L131" t="inlineStr">
        <is>
          <t>2025-07-28 19:16:08.206 IST</t>
        </is>
      </c>
      <c r="M131" t="inlineStr">
        <is>
          <t>Soundariya B</t>
        </is>
      </c>
      <c r="N131" t="inlineStr">
        <is>
          <t>Yes</t>
        </is>
      </c>
      <c r="O131" t="inlineStr">
        <is>
          <t>Yes</t>
        </is>
      </c>
      <c r="P131" t="inlineStr">
        <is>
          <t>Soundariya B</t>
        </is>
      </c>
      <c r="Q131" t="inlineStr">
        <is>
          <t>Bad</t>
        </is>
      </c>
    </row>
    <row r="132">
      <c r="A132" t="inlineStr">
        <is>
          <t>nakshatra.b</t>
        </is>
      </c>
      <c r="B132" t="inlineStr">
        <is>
          <t>Nakshatra Bhatia</t>
        </is>
      </c>
      <c r="C132" t="inlineStr">
        <is>
          <t>nakshatra.b@osmosys.co</t>
        </is>
      </c>
      <c r="D132" t="inlineStr">
        <is>
          <t>incident-reporter</t>
        </is>
      </c>
      <c r="E132">
        <f>HYPERLINK("http://gitlab.osmosys.co/incident-reporter/incident-reporter-app", "OQSHA Mobile App")</f>
        <v/>
      </c>
      <c r="F132">
        <f>HYPERLINK("http://gitlab.osmosys.co/incident-reporter/incident-reporter-app/-/merge_requests/1839", "fix: remove duetime in incident page")</f>
        <v/>
      </c>
      <c r="G132" t="inlineStr">
        <is>
          <t>fix/duetime-removal</t>
        </is>
      </c>
      <c r="H132" t="inlineStr">
        <is>
          <t>sprint-18</t>
        </is>
      </c>
      <c r="I132" t="inlineStr">
        <is>
          <t>merged</t>
        </is>
      </c>
      <c r="J132" t="inlineStr">
        <is>
          <t>81dfc78c1b562fbbb99b4cf0852cf8d1e7a370ae</t>
        </is>
      </c>
      <c r="K132">
        <f>HYPERLINK("http://gitlab.osmosys.co/incident-reporter/incident-reporter-app/-/merge_requests/1839#note_243256", "removed it")</f>
        <v/>
      </c>
      <c r="L132" t="inlineStr">
        <is>
          <t>2025-07-28 19:30:50.974 IST</t>
        </is>
      </c>
      <c r="M132" t="inlineStr">
        <is>
          <t>Nakshatra Bhatia</t>
        </is>
      </c>
      <c r="N132" t="inlineStr">
        <is>
          <t>No</t>
        </is>
      </c>
      <c r="O132" t="inlineStr">
        <is>
          <t>Yes</t>
        </is>
      </c>
      <c r="P132" t="inlineStr">
        <is>
          <t>Soundariya B</t>
        </is>
      </c>
      <c r="Q132" t="inlineStr">
        <is>
          <t>Bad</t>
        </is>
      </c>
    </row>
    <row r="133">
      <c r="A133" t="inlineStr">
        <is>
          <t>nakshatra.b</t>
        </is>
      </c>
      <c r="B133" t="inlineStr">
        <is>
          <t>Nakshatra Bhatia</t>
        </is>
      </c>
      <c r="C133" t="inlineStr">
        <is>
          <t>nakshatra.b@osmosys.co</t>
        </is>
      </c>
      <c r="D133" t="inlineStr">
        <is>
          <t>incident-reporter</t>
        </is>
      </c>
      <c r="E133">
        <f>HYPERLINK("http://gitlab.osmosys.co/incident-reporter/incident-reporter-app", "OQSHA Mobile App")</f>
        <v/>
      </c>
      <c r="F133">
        <f>HYPERLINK("http://gitlab.osmosys.co/incident-reporter/incident-reporter-app/-/merge_requests/1829", "feat: add duedate and assign status in app")</f>
        <v/>
      </c>
      <c r="G133" t="inlineStr">
        <is>
          <t>feat/duedate-time-status</t>
        </is>
      </c>
      <c r="H133" t="inlineStr">
        <is>
          <t>sprint-18</t>
        </is>
      </c>
      <c r="I133" t="inlineStr">
        <is>
          <t>merged</t>
        </is>
      </c>
      <c r="J133" t="inlineStr"/>
      <c r="K133" t="inlineStr"/>
      <c r="L133" t="inlineStr"/>
      <c r="M133" t="inlineStr"/>
      <c r="N133" t="inlineStr"/>
      <c r="O133" t="inlineStr"/>
      <c r="P133" t="inlineStr"/>
      <c r="Q133" t="inlineStr"/>
    </row>
    <row r="134">
      <c r="A134" t="inlineStr">
        <is>
          <t>nakshatra.b</t>
        </is>
      </c>
      <c r="B134" t="inlineStr">
        <is>
          <t>Nakshatra Bhatia</t>
        </is>
      </c>
      <c r="C134" t="inlineStr">
        <is>
          <t>nakshatra.b@osmosys.co</t>
        </is>
      </c>
      <c r="D134" t="inlineStr">
        <is>
          <t>incident-reporter</t>
        </is>
      </c>
      <c r="E134">
        <f>HYPERLINK("http://gitlab.osmosys.co/incident-reporter/incident-reporter-app", "OQSHA Mobile App")</f>
        <v/>
      </c>
      <c r="F134">
        <f>HYPERLINK("http://gitlab.osmosys.co/incident-reporter/incident-reporter-app/-/merge_requests/1796", "feat: add duedate and assign status in app")</f>
        <v/>
      </c>
      <c r="G134" t="inlineStr">
        <is>
          <t>feat/duedate-validate-status-app</t>
        </is>
      </c>
      <c r="H134" t="inlineStr">
        <is>
          <t>sprint-17</t>
        </is>
      </c>
      <c r="I134" t="inlineStr">
        <is>
          <t>closed</t>
        </is>
      </c>
      <c r="J134" t="inlineStr">
        <is>
          <t>bc5956a784f8cf81f567ea7f6e25da28d5c145c9</t>
        </is>
      </c>
      <c r="K134">
        <f>HYPERLINK("http://gitlab.osmosys.co/incident-reporter/incident-reporter-app/-/merge_requests/1796#note_239025", "![image.png](/uploads/cba1516ed30855527c517b9f28e5b9df/image.png)")</f>
        <v/>
      </c>
      <c r="L134" t="inlineStr">
        <is>
          <t>2025-07-18 23:21:32.581 IST</t>
        </is>
      </c>
      <c r="M134" t="inlineStr">
        <is>
          <t>Soundariya B</t>
        </is>
      </c>
      <c r="N134" t="inlineStr">
        <is>
          <t>Yes</t>
        </is>
      </c>
      <c r="O134" t="inlineStr">
        <is>
          <t>Yes</t>
        </is>
      </c>
      <c r="P134" t="inlineStr">
        <is>
          <t>Soundariya B</t>
        </is>
      </c>
      <c r="Q134" t="inlineStr">
        <is>
          <t>Good</t>
        </is>
      </c>
    </row>
    <row r="135">
      <c r="A135" t="inlineStr">
        <is>
          <t>nakshatra.b</t>
        </is>
      </c>
      <c r="B135" t="inlineStr">
        <is>
          <t>Nakshatra Bhatia</t>
        </is>
      </c>
      <c r="C135" t="inlineStr">
        <is>
          <t>nakshatra.b@osmosys.co</t>
        </is>
      </c>
      <c r="D135" t="inlineStr">
        <is>
          <t>incident-reporter</t>
        </is>
      </c>
      <c r="E135">
        <f>HYPERLINK("http://gitlab.osmosys.co/incident-reporter/incident-reporter-app", "OQSHA Mobile App")</f>
        <v/>
      </c>
      <c r="F135">
        <f>HYPERLINK("http://gitlab.osmosys.co/incident-reporter/incident-reporter-app/-/merge_requests/1796", "feat: add duedate and assign status in app")</f>
        <v/>
      </c>
      <c r="G135" t="inlineStr">
        <is>
          <t>feat/duedate-validate-status-app</t>
        </is>
      </c>
      <c r="H135" t="inlineStr">
        <is>
          <t>sprint-17</t>
        </is>
      </c>
      <c r="I135" t="inlineStr">
        <is>
          <t>closed</t>
        </is>
      </c>
      <c r="J135" t="inlineStr">
        <is>
          <t>bc5956a784f8cf81f567ea7f6e25da28d5c145c9</t>
        </is>
      </c>
      <c r="K135">
        <f>HYPERLINK("http://gitlab.osmosys.co/incident-reporter/incident-reporter-app/-/merge_requests/1796#note_239280", "Fixed the gap spacing and box corners too
![image](/uploads/17fdec2d949506d9735e123b3bf1495c/image.png){width=548 height=336}")</f>
        <v/>
      </c>
      <c r="L135" t="inlineStr">
        <is>
          <t>2025-07-21 14:41:16.995 IST</t>
        </is>
      </c>
      <c r="M135" t="inlineStr">
        <is>
          <t>Nakshatra Bhatia</t>
        </is>
      </c>
      <c r="N135" t="inlineStr">
        <is>
          <t>No</t>
        </is>
      </c>
      <c r="O135" t="inlineStr">
        <is>
          <t>Yes</t>
        </is>
      </c>
      <c r="P135" t="inlineStr">
        <is>
          <t>Soundariya B</t>
        </is>
      </c>
      <c r="Q135" t="inlineStr">
        <is>
          <t>Good</t>
        </is>
      </c>
    </row>
    <row r="136">
      <c r="A136" t="inlineStr">
        <is>
          <t>nakshatra.b</t>
        </is>
      </c>
      <c r="B136" t="inlineStr">
        <is>
          <t>Nakshatra Bhatia</t>
        </is>
      </c>
      <c r="C136" t="inlineStr">
        <is>
          <t>nakshatra.b@osmosys.co</t>
        </is>
      </c>
      <c r="D136" t="inlineStr">
        <is>
          <t>incident-reporter</t>
        </is>
      </c>
      <c r="E136">
        <f>HYPERLINK("http://gitlab.osmosys.co/incident-reporter/incident-reporter-app", "OQSHA Mobile App")</f>
        <v/>
      </c>
      <c r="F136">
        <f>HYPERLINK("http://gitlab.osmosys.co/incident-reporter/incident-reporter-app/-/merge_requests/1796", "feat: add duedate and assign status in app")</f>
        <v/>
      </c>
      <c r="G136" t="inlineStr">
        <is>
          <t>feat/duedate-validate-status-app</t>
        </is>
      </c>
      <c r="H136" t="inlineStr">
        <is>
          <t>sprint-17</t>
        </is>
      </c>
      <c r="I136" t="inlineStr">
        <is>
          <t>closed</t>
        </is>
      </c>
      <c r="J136" t="inlineStr">
        <is>
          <t>cd508bde983f58ca7e768e1c07398433310a04e9</t>
        </is>
      </c>
      <c r="K136">
        <f>HYPERLINK("http://gitlab.osmosys.co/incident-reporter/incident-reporter-app/-/merge_requests/1796#note_239026", "Shouldn't be it slight to left?
![image.png](/uploads/f321a5cc6e38723d52a44f0cb85cc04b/image.png)")</f>
        <v/>
      </c>
      <c r="L136" t="inlineStr">
        <is>
          <t>2025-07-18 23:21:32.620 IST</t>
        </is>
      </c>
      <c r="M136" t="inlineStr">
        <is>
          <t>Soundariya B</t>
        </is>
      </c>
      <c r="N136" t="inlineStr">
        <is>
          <t>Yes</t>
        </is>
      </c>
      <c r="O136" t="inlineStr">
        <is>
          <t>Yes</t>
        </is>
      </c>
      <c r="P136" t="inlineStr">
        <is>
          <t>Soundariya B</t>
        </is>
      </c>
      <c r="Q136" t="inlineStr">
        <is>
          <t>Neutral</t>
        </is>
      </c>
    </row>
    <row r="137">
      <c r="A137" t="inlineStr">
        <is>
          <t>nakshatra.b</t>
        </is>
      </c>
      <c r="B137" t="inlineStr">
        <is>
          <t>Nakshatra Bhatia</t>
        </is>
      </c>
      <c r="C137" t="inlineStr">
        <is>
          <t>nakshatra.b@osmosys.co</t>
        </is>
      </c>
      <c r="D137" t="inlineStr">
        <is>
          <t>incident-reporter</t>
        </is>
      </c>
      <c r="E137">
        <f>HYPERLINK("http://gitlab.osmosys.co/incident-reporter/incident-reporter-app", "OQSHA Mobile App")</f>
        <v/>
      </c>
      <c r="F137">
        <f>HYPERLINK("http://gitlab.osmosys.co/incident-reporter/incident-reporter-app/-/merge_requests/1796", "feat: add duedate and assign status in app")</f>
        <v/>
      </c>
      <c r="G137" t="inlineStr">
        <is>
          <t>feat/duedate-validate-status-app</t>
        </is>
      </c>
      <c r="H137" t="inlineStr">
        <is>
          <t>sprint-17</t>
        </is>
      </c>
      <c r="I137" t="inlineStr">
        <is>
          <t>closed</t>
        </is>
      </c>
      <c r="J137" t="inlineStr">
        <is>
          <t>cd508bde983f58ca7e768e1c07398433310a04e9</t>
        </is>
      </c>
      <c r="K137">
        <f>HYPERLINK("http://gitlab.osmosys.co/incident-reporter/incident-reporter-app/-/merge_requests/1796#note_239215", "![tasks-time](/uploads/39a02cd7f71c92ed9ec8cc4fd074f25f/tasks-time.mp4)
In local it is displayed like this. I checked this on inspection as well as tasks page.
Also the dropdown box will be replaced by clock for time selection.")</f>
        <v/>
      </c>
      <c r="L137" t="inlineStr">
        <is>
          <t>2025-07-21 13:06:59.708 IST</t>
        </is>
      </c>
      <c r="M137" t="inlineStr">
        <is>
          <t>Nakshatra Bhatia</t>
        </is>
      </c>
      <c r="N137" t="inlineStr">
        <is>
          <t>No</t>
        </is>
      </c>
      <c r="O137" t="inlineStr">
        <is>
          <t>Yes</t>
        </is>
      </c>
      <c r="P137" t="inlineStr">
        <is>
          <t>Soundariya B</t>
        </is>
      </c>
      <c r="Q137" t="inlineStr">
        <is>
          <t>Neutral</t>
        </is>
      </c>
    </row>
    <row r="138">
      <c r="A138" t="inlineStr">
        <is>
          <t>nakshatra.b</t>
        </is>
      </c>
      <c r="B138" t="inlineStr">
        <is>
          <t>Nakshatra Bhatia</t>
        </is>
      </c>
      <c r="C138" t="inlineStr">
        <is>
          <t>nakshatra.b@osmosys.co</t>
        </is>
      </c>
      <c r="D138" t="inlineStr">
        <is>
          <t>incident-reporter</t>
        </is>
      </c>
      <c r="E138">
        <f>HYPERLINK("http://gitlab.osmosys.co/incident-reporter/incident-reporter-app", "OQSHA Mobile App")</f>
        <v/>
      </c>
      <c r="F138">
        <f>HYPERLINK("http://gitlab.osmosys.co/incident-reporter/incident-reporter-app/-/merge_requests/1796", "feat: add duedate and assign status in app")</f>
        <v/>
      </c>
      <c r="G138" t="inlineStr">
        <is>
          <t>feat/duedate-validate-status-app</t>
        </is>
      </c>
      <c r="H138" t="inlineStr">
        <is>
          <t>sprint-17</t>
        </is>
      </c>
      <c r="I138" t="inlineStr">
        <is>
          <t>closed</t>
        </is>
      </c>
      <c r="J138" t="inlineStr">
        <is>
          <t>051f076b483e55788aeb1310740c92d4403d6312</t>
        </is>
      </c>
      <c r="K138">
        <f>HYPERLINK("http://gitlab.osmosys.co/incident-reporter/incident-reporter-app/-/merge_requests/1796#note_239027", "There are 4 issues in the screen shot please check and read carefully and understand it as I tried to explain as much as possible
![image.png](/uploads/4581c591f2a5d6d0a8cfaad097c4b422/image.png)")</f>
        <v/>
      </c>
      <c r="L138" t="inlineStr">
        <is>
          <t>2025-07-18 23:21:32.651 IST</t>
        </is>
      </c>
      <c r="M138" t="inlineStr">
        <is>
          <t>Soundariya B</t>
        </is>
      </c>
      <c r="N138" t="inlineStr">
        <is>
          <t>Yes</t>
        </is>
      </c>
      <c r="O138" t="inlineStr">
        <is>
          <t>Yes</t>
        </is>
      </c>
      <c r="P138" t="inlineStr">
        <is>
          <t>Soundariya B</t>
        </is>
      </c>
      <c r="Q138" t="inlineStr">
        <is>
          <t>Neutral</t>
        </is>
      </c>
    </row>
    <row r="139">
      <c r="A139" t="inlineStr">
        <is>
          <t>nakshatra.b</t>
        </is>
      </c>
      <c r="B139" t="inlineStr">
        <is>
          <t>Nakshatra Bhatia</t>
        </is>
      </c>
      <c r="C139" t="inlineStr">
        <is>
          <t>nakshatra.b@osmosys.co</t>
        </is>
      </c>
      <c r="D139" t="inlineStr">
        <is>
          <t>incident-reporter</t>
        </is>
      </c>
      <c r="E139">
        <f>HYPERLINK("http://gitlab.osmosys.co/incident-reporter/incident-reporter-app", "OQSHA Mobile App")</f>
        <v/>
      </c>
      <c r="F139">
        <f>HYPERLINK("http://gitlab.osmosys.co/incident-reporter/incident-reporter-app/-/merge_requests/1796", "feat: add duedate and assign status in app")</f>
        <v/>
      </c>
      <c r="G139" t="inlineStr">
        <is>
          <t>feat/duedate-validate-status-app</t>
        </is>
      </c>
      <c r="H139" t="inlineStr">
        <is>
          <t>sprint-17</t>
        </is>
      </c>
      <c r="I139" t="inlineStr">
        <is>
          <t>closed</t>
        </is>
      </c>
      <c r="J139" t="inlineStr">
        <is>
          <t>051f076b483e55788aeb1310740c92d4403d6312</t>
        </is>
      </c>
      <c r="K139">
        <f>HYPERLINK("http://gitlab.osmosys.co/incident-reporter/incident-reporter-app/-/merge_requests/1796#note_239284", "The left issue is not valid. I have added screen recording above for tasks page too. In local it is displayed like this. And for past time I have already added validation preventing it from submission.Since clock will be displayed on app we cant' restrict time range as per currrent time so added validation for it. In tasks page due date column there is no validation yet.")</f>
        <v/>
      </c>
      <c r="L139" t="inlineStr">
        <is>
          <t>2025-07-21 14:44:33.647 IST</t>
        </is>
      </c>
      <c r="M139" t="inlineStr">
        <is>
          <t>Nakshatra Bhatia</t>
        </is>
      </c>
      <c r="N139" t="inlineStr">
        <is>
          <t>No</t>
        </is>
      </c>
      <c r="O139" t="inlineStr">
        <is>
          <t>Yes</t>
        </is>
      </c>
      <c r="P139" t="inlineStr">
        <is>
          <t>Soundariya B</t>
        </is>
      </c>
      <c r="Q139" t="inlineStr">
        <is>
          <t>Neutral</t>
        </is>
      </c>
    </row>
    <row r="140">
      <c r="A140" t="inlineStr">
        <is>
          <t>nakshatra.b</t>
        </is>
      </c>
      <c r="B140" t="inlineStr">
        <is>
          <t>Nakshatra Bhatia</t>
        </is>
      </c>
      <c r="C140" t="inlineStr">
        <is>
          <t>nakshatra.b@osmosys.co</t>
        </is>
      </c>
      <c r="D140" t="inlineStr">
        <is>
          <t>incident-reporter</t>
        </is>
      </c>
      <c r="E140">
        <f>HYPERLINK("http://gitlab.osmosys.co/incident-reporter/incident-reporter-app", "OQSHA Mobile App")</f>
        <v/>
      </c>
      <c r="F140">
        <f>HYPERLINK("http://gitlab.osmosys.co/incident-reporter/incident-reporter-app/-/merge_requests/1796", "feat: add duedate and assign status in app")</f>
        <v/>
      </c>
      <c r="G140" t="inlineStr">
        <is>
          <t>feat/duedate-validate-status-app</t>
        </is>
      </c>
      <c r="H140" t="inlineStr">
        <is>
          <t>sprint-17</t>
        </is>
      </c>
      <c r="I140" t="inlineStr">
        <is>
          <t>closed</t>
        </is>
      </c>
      <c r="J140" t="inlineStr">
        <is>
          <t>3a5f666c5eeec7992abd28994740e1b7944da193</t>
        </is>
      </c>
      <c r="K140">
        <f>HYPERLINK("http://gitlab.osmosys.co/incident-reporter/incident-reporter-app/-/merge_requests/1796#note_239028", "![image.png](/uploads/313a54cb8be1c544072014e02bffdf01/image.png)")</f>
        <v/>
      </c>
      <c r="L140" t="inlineStr">
        <is>
          <t>2025-07-18 23:21:32.676 IST</t>
        </is>
      </c>
      <c r="M140" t="inlineStr">
        <is>
          <t>Soundariya B</t>
        </is>
      </c>
      <c r="N140" t="inlineStr">
        <is>
          <t>Yes</t>
        </is>
      </c>
      <c r="O140" t="inlineStr">
        <is>
          <t>Yes</t>
        </is>
      </c>
      <c r="P140" t="inlineStr">
        <is>
          <t>Soundariya B</t>
        </is>
      </c>
      <c r="Q140" t="inlineStr">
        <is>
          <t>Good</t>
        </is>
      </c>
    </row>
    <row r="141">
      <c r="A141" t="inlineStr">
        <is>
          <t>nakshatra.b</t>
        </is>
      </c>
      <c r="B141" t="inlineStr">
        <is>
          <t>Nakshatra Bhatia</t>
        </is>
      </c>
      <c r="C141" t="inlineStr">
        <is>
          <t>nakshatra.b@osmosys.co</t>
        </is>
      </c>
      <c r="D141" t="inlineStr">
        <is>
          <t>incident-reporter</t>
        </is>
      </c>
      <c r="E141">
        <f>HYPERLINK("http://gitlab.osmosys.co/incident-reporter/incident-reporter-app", "OQSHA Mobile App")</f>
        <v/>
      </c>
      <c r="F141">
        <f>HYPERLINK("http://gitlab.osmosys.co/incident-reporter/incident-reporter-app/-/merge_requests/1796", "feat: add duedate and assign status in app")</f>
        <v/>
      </c>
      <c r="G141" t="inlineStr">
        <is>
          <t>feat/duedate-validate-status-app</t>
        </is>
      </c>
      <c r="H141" t="inlineStr">
        <is>
          <t>sprint-17</t>
        </is>
      </c>
      <c r="I141" t="inlineStr">
        <is>
          <t>closed</t>
        </is>
      </c>
      <c r="J141" t="inlineStr">
        <is>
          <t>3a5f666c5eeec7992abd28994740e1b7944da193</t>
        </is>
      </c>
      <c r="K141">
        <f>HYPERLINK("http://gitlab.osmosys.co/incident-reporter/incident-reporter-app/-/merge_requests/1796#note_239282", "Fixed it")</f>
        <v/>
      </c>
      <c r="L141" t="inlineStr">
        <is>
          <t>2025-07-21 14:42:21.575 IST</t>
        </is>
      </c>
      <c r="M141" t="inlineStr">
        <is>
          <t>Nakshatra Bhatia</t>
        </is>
      </c>
      <c r="N141" t="inlineStr">
        <is>
          <t>No</t>
        </is>
      </c>
      <c r="O141" t="inlineStr">
        <is>
          <t>Yes</t>
        </is>
      </c>
      <c r="P141" t="inlineStr">
        <is>
          <t>Soundariya B</t>
        </is>
      </c>
      <c r="Q141" t="inlineStr">
        <is>
          <t>Good</t>
        </is>
      </c>
    </row>
    <row r="142">
      <c r="A142" t="inlineStr">
        <is>
          <t>nakshatra.b</t>
        </is>
      </c>
      <c r="B142" t="inlineStr">
        <is>
          <t>Nakshatra Bhatia</t>
        </is>
      </c>
      <c r="C142" t="inlineStr">
        <is>
          <t>nakshatra.b@osmosys.co</t>
        </is>
      </c>
      <c r="D142" t="inlineStr">
        <is>
          <t>incident-reporter</t>
        </is>
      </c>
      <c r="E142">
        <f>HYPERLINK("http://gitlab.osmosys.co/incident-reporter/incident-reporter-app", "OQSHA Mobile App")</f>
        <v/>
      </c>
      <c r="F142">
        <f>HYPERLINK("http://gitlab.osmosys.co/incident-reporter/incident-reporter-app/-/merge_requests/1796", "feat: add duedate and assign status in app")</f>
        <v/>
      </c>
      <c r="G142" t="inlineStr">
        <is>
          <t>feat/duedate-validate-status-app</t>
        </is>
      </c>
      <c r="H142" t="inlineStr">
        <is>
          <t>sprint-17</t>
        </is>
      </c>
      <c r="I142" t="inlineStr">
        <is>
          <t>closed</t>
        </is>
      </c>
      <c r="J142" t="inlineStr">
        <is>
          <t>59f5cba16dc8ed4e38d457e6015c469cfe432d39</t>
        </is>
      </c>
      <c r="K142">
        <f>HYPERLINK("http://gitlab.osmosys.co/incident-reporter/incident-reporter-app/-/merge_requests/1796#note_239029", "This is not required here")</f>
        <v/>
      </c>
      <c r="L142" t="inlineStr">
        <is>
          <t>2025-07-18 23:21:32.742 IST</t>
        </is>
      </c>
      <c r="M142" t="inlineStr">
        <is>
          <t>Soundariya B</t>
        </is>
      </c>
      <c r="N142" t="inlineStr">
        <is>
          <t>Yes</t>
        </is>
      </c>
      <c r="O142" t="inlineStr">
        <is>
          <t>Yes</t>
        </is>
      </c>
      <c r="P142" t="inlineStr">
        <is>
          <t>Soundariya B</t>
        </is>
      </c>
      <c r="Q142" t="inlineStr">
        <is>
          <t>Good</t>
        </is>
      </c>
    </row>
    <row r="143">
      <c r="A143" t="inlineStr">
        <is>
          <t>nakshatra.b</t>
        </is>
      </c>
      <c r="B143" t="inlineStr">
        <is>
          <t>Nakshatra Bhatia</t>
        </is>
      </c>
      <c r="C143" t="inlineStr">
        <is>
          <t>nakshatra.b@osmosys.co</t>
        </is>
      </c>
      <c r="D143" t="inlineStr">
        <is>
          <t>incident-reporter</t>
        </is>
      </c>
      <c r="E143">
        <f>HYPERLINK("http://gitlab.osmosys.co/incident-reporter/incident-reporter-app", "OQSHA Mobile App")</f>
        <v/>
      </c>
      <c r="F143">
        <f>HYPERLINK("http://gitlab.osmosys.co/incident-reporter/incident-reporter-app/-/merge_requests/1796", "feat: add duedate and assign status in app")</f>
        <v/>
      </c>
      <c r="G143" t="inlineStr">
        <is>
          <t>feat/duedate-validate-status-app</t>
        </is>
      </c>
      <c r="H143" t="inlineStr">
        <is>
          <t>sprint-17</t>
        </is>
      </c>
      <c r="I143" t="inlineStr">
        <is>
          <t>closed</t>
        </is>
      </c>
      <c r="J143" t="inlineStr">
        <is>
          <t>59f5cba16dc8ed4e38d457e6015c469cfe432d39</t>
        </is>
      </c>
      <c r="K143">
        <f>HYPERLINK("http://gitlab.osmosys.co/incident-reporter/incident-reporter-app/-/merge_requests/1796#note_239124", "fixed it")</f>
        <v/>
      </c>
      <c r="L143" t="inlineStr">
        <is>
          <t>2025-07-21 11:19:12.831 IST</t>
        </is>
      </c>
      <c r="M143" t="inlineStr">
        <is>
          <t>Nakshatra Bhatia</t>
        </is>
      </c>
      <c r="N143" t="inlineStr">
        <is>
          <t>No</t>
        </is>
      </c>
      <c r="O143" t="inlineStr">
        <is>
          <t>Yes</t>
        </is>
      </c>
      <c r="P143" t="inlineStr">
        <is>
          <t>Soundariya B</t>
        </is>
      </c>
      <c r="Q143" t="inlineStr">
        <is>
          <t>Good</t>
        </is>
      </c>
    </row>
    <row r="144">
      <c r="A144" t="inlineStr">
        <is>
          <t>nakshatra.b</t>
        </is>
      </c>
      <c r="B144" t="inlineStr">
        <is>
          <t>Nakshatra Bhatia</t>
        </is>
      </c>
      <c r="C144" t="inlineStr">
        <is>
          <t>nakshatra.b@osmosys.co</t>
        </is>
      </c>
      <c r="D144" t="inlineStr">
        <is>
          <t>incident-reporter</t>
        </is>
      </c>
      <c r="E144">
        <f>HYPERLINK("http://gitlab.osmosys.co/incident-reporter/incident-reporter-app", "OQSHA Mobile App")</f>
        <v/>
      </c>
      <c r="F144">
        <f>HYPERLINK("http://gitlab.osmosys.co/incident-reporter/incident-reporter-app/-/merge_requests/1796", "feat: add duedate and assign status in app")</f>
        <v/>
      </c>
      <c r="G144" t="inlineStr">
        <is>
          <t>feat/duedate-validate-status-app</t>
        </is>
      </c>
      <c r="H144" t="inlineStr">
        <is>
          <t>sprint-17</t>
        </is>
      </c>
      <c r="I144" t="inlineStr">
        <is>
          <t>closed</t>
        </is>
      </c>
      <c r="J144" t="inlineStr">
        <is>
          <t>2ef0118f1ed27f73ad97b5180debf6213a0b64f5</t>
        </is>
      </c>
      <c r="K144">
        <f>HYPERLINK("http://gitlab.osmosys.co/incident-reporter/incident-reporter-app/-/merge_requests/1796#note_239030", "Where is the toaster?")</f>
        <v/>
      </c>
      <c r="L144" t="inlineStr">
        <is>
          <t>2025-07-18 23:21:32.804 IST</t>
        </is>
      </c>
      <c r="M144" t="inlineStr">
        <is>
          <t>Soundariya B</t>
        </is>
      </c>
      <c r="N144" t="inlineStr">
        <is>
          <t>Yes</t>
        </is>
      </c>
      <c r="O144" t="inlineStr">
        <is>
          <t>Yes</t>
        </is>
      </c>
      <c r="P144" t="inlineStr">
        <is>
          <t>Soundariya B</t>
        </is>
      </c>
      <c r="Q144" t="inlineStr">
        <is>
          <t>Good</t>
        </is>
      </c>
    </row>
    <row r="145">
      <c r="A145" t="inlineStr">
        <is>
          <t>nakshatra.b</t>
        </is>
      </c>
      <c r="B145" t="inlineStr">
        <is>
          <t>Nakshatra Bhatia</t>
        </is>
      </c>
      <c r="C145" t="inlineStr">
        <is>
          <t>nakshatra.b@osmosys.co</t>
        </is>
      </c>
      <c r="D145" t="inlineStr">
        <is>
          <t>incident-reporter</t>
        </is>
      </c>
      <c r="E145">
        <f>HYPERLINK("http://gitlab.osmosys.co/incident-reporter/incident-reporter-app", "OQSHA Mobile App")</f>
        <v/>
      </c>
      <c r="F145">
        <f>HYPERLINK("http://gitlab.osmosys.co/incident-reporter/incident-reporter-app/-/merge_requests/1796", "feat: add duedate and assign status in app")</f>
        <v/>
      </c>
      <c r="G145" t="inlineStr">
        <is>
          <t>feat/duedate-validate-status-app</t>
        </is>
      </c>
      <c r="H145" t="inlineStr">
        <is>
          <t>sprint-17</t>
        </is>
      </c>
      <c r="I145" t="inlineStr">
        <is>
          <t>closed</t>
        </is>
      </c>
      <c r="J145" t="inlineStr">
        <is>
          <t>2ef0118f1ed27f73ad97b5180debf6213a0b64f5</t>
        </is>
      </c>
      <c r="K145">
        <f>HYPERLINK("http://gitlab.osmosys.co/incident-reporter/incident-reporter-app/-/merge_requests/1796#note_239125", "added it")</f>
        <v/>
      </c>
      <c r="L145" t="inlineStr">
        <is>
          <t>2025-07-21 11:20:55.581 IST</t>
        </is>
      </c>
      <c r="M145" t="inlineStr">
        <is>
          <t>Nakshatra Bhatia</t>
        </is>
      </c>
      <c r="N145" t="inlineStr">
        <is>
          <t>No</t>
        </is>
      </c>
      <c r="O145" t="inlineStr">
        <is>
          <t>Yes</t>
        </is>
      </c>
      <c r="P145" t="inlineStr">
        <is>
          <t>Soundariya B</t>
        </is>
      </c>
      <c r="Q145" t="inlineStr">
        <is>
          <t>Good</t>
        </is>
      </c>
    </row>
    <row r="146">
      <c r="A146" t="inlineStr">
        <is>
          <t>nakshatra.b</t>
        </is>
      </c>
      <c r="B146" t="inlineStr">
        <is>
          <t>Nakshatra Bhatia</t>
        </is>
      </c>
      <c r="C146" t="inlineStr">
        <is>
          <t>nakshatra.b@osmosys.co</t>
        </is>
      </c>
      <c r="D146" t="inlineStr">
        <is>
          <t>incident-reporter</t>
        </is>
      </c>
      <c r="E146">
        <f>HYPERLINK("http://gitlab.osmosys.co/incident-reporter/incident-reporter-app", "OQSHA Mobile App")</f>
        <v/>
      </c>
      <c r="F146">
        <f>HYPERLINK("http://gitlab.osmosys.co/incident-reporter/incident-reporter-app/-/merge_requests/1796", "feat: add duedate and assign status in app")</f>
        <v/>
      </c>
      <c r="G146" t="inlineStr">
        <is>
          <t>feat/duedate-validate-status-app</t>
        </is>
      </c>
      <c r="H146" t="inlineStr">
        <is>
          <t>sprint-17</t>
        </is>
      </c>
      <c r="I146" t="inlineStr">
        <is>
          <t>closed</t>
        </is>
      </c>
      <c r="J146" t="inlineStr">
        <is>
          <t>6122e8e8558665611be1996051a6e3c16d9e0041</t>
        </is>
      </c>
      <c r="K146">
        <f>HYPERLINK("http://gitlab.osmosys.co/incident-reporter/incident-reporter-app/-/merge_requests/1796#note_239031", "Take from lang files")</f>
        <v/>
      </c>
      <c r="L146" t="inlineStr">
        <is>
          <t>2025-07-18 23:21:32.891 IST</t>
        </is>
      </c>
      <c r="M146" t="inlineStr">
        <is>
          <t>Soundariya B</t>
        </is>
      </c>
      <c r="N146" t="inlineStr">
        <is>
          <t>Yes</t>
        </is>
      </c>
      <c r="O146" t="inlineStr">
        <is>
          <t>Yes</t>
        </is>
      </c>
      <c r="P146" t="inlineStr">
        <is>
          <t>Soundariya B</t>
        </is>
      </c>
      <c r="Q146" t="inlineStr">
        <is>
          <t>Good</t>
        </is>
      </c>
    </row>
    <row r="147">
      <c r="A147" t="inlineStr">
        <is>
          <t>nakshatra.b</t>
        </is>
      </c>
      <c r="B147" t="inlineStr">
        <is>
          <t>Nakshatra Bhatia</t>
        </is>
      </c>
      <c r="C147" t="inlineStr">
        <is>
          <t>nakshatra.b@osmosys.co</t>
        </is>
      </c>
      <c r="D147" t="inlineStr">
        <is>
          <t>incident-reporter</t>
        </is>
      </c>
      <c r="E147">
        <f>HYPERLINK("http://gitlab.osmosys.co/incident-reporter/incident-reporter-app", "OQSHA Mobile App")</f>
        <v/>
      </c>
      <c r="F147">
        <f>HYPERLINK("http://gitlab.osmosys.co/incident-reporter/incident-reporter-app/-/merge_requests/1796", "feat: add duedate and assign status in app")</f>
        <v/>
      </c>
      <c r="G147" t="inlineStr">
        <is>
          <t>feat/duedate-validate-status-app</t>
        </is>
      </c>
      <c r="H147" t="inlineStr">
        <is>
          <t>sprint-17</t>
        </is>
      </c>
      <c r="I147" t="inlineStr">
        <is>
          <t>closed</t>
        </is>
      </c>
      <c r="J147" t="inlineStr">
        <is>
          <t>6122e8e8558665611be1996051a6e3c16d9e0041</t>
        </is>
      </c>
      <c r="K147">
        <f>HYPERLINK("http://gitlab.osmosys.co/incident-reporter/incident-reporter-app/-/merge_requests/1796#note_239126", "fixed it")</f>
        <v/>
      </c>
      <c r="L147" t="inlineStr">
        <is>
          <t>2025-07-21 11:21:18.178 IST</t>
        </is>
      </c>
      <c r="M147" t="inlineStr">
        <is>
          <t>Nakshatra Bhatia</t>
        </is>
      </c>
      <c r="N147" t="inlineStr">
        <is>
          <t>No</t>
        </is>
      </c>
      <c r="O147" t="inlineStr">
        <is>
          <t>Yes</t>
        </is>
      </c>
      <c r="P147" t="inlineStr">
        <is>
          <t>Soundariya B</t>
        </is>
      </c>
      <c r="Q147" t="inlineStr">
        <is>
          <t>Good</t>
        </is>
      </c>
    </row>
    <row r="148">
      <c r="A148" t="inlineStr">
        <is>
          <t>nakshatra.b</t>
        </is>
      </c>
      <c r="B148" t="inlineStr">
        <is>
          <t>Nakshatra Bhatia</t>
        </is>
      </c>
      <c r="C148" t="inlineStr">
        <is>
          <t>nakshatra.b@osmosys.co</t>
        </is>
      </c>
      <c r="D148" t="inlineStr">
        <is>
          <t>incident-reporter</t>
        </is>
      </c>
      <c r="E148">
        <f>HYPERLINK("http://gitlab.osmosys.co/incident-reporter/incident-reporter-app", "OQSHA Mobile App")</f>
        <v/>
      </c>
      <c r="F148">
        <f>HYPERLINK("http://gitlab.osmosys.co/incident-reporter/incident-reporter-app/-/merge_requests/1796", "feat: add duedate and assign status in app")</f>
        <v/>
      </c>
      <c r="G148" t="inlineStr">
        <is>
          <t>feat/duedate-validate-status-app</t>
        </is>
      </c>
      <c r="H148" t="inlineStr">
        <is>
          <t>sprint-17</t>
        </is>
      </c>
      <c r="I148" t="inlineStr">
        <is>
          <t>closed</t>
        </is>
      </c>
      <c r="J148" t="inlineStr">
        <is>
          <t>e5cb1acbaacc0f6ef3de7000d4a0ccf3c6c0fb64</t>
        </is>
      </c>
      <c r="K148">
        <f>HYPERLINK("http://gitlab.osmosys.co/incident-reporter/incident-reporter-app/-/merge_requests/1796#note_239032", "Take from lang files")</f>
        <v/>
      </c>
      <c r="L148" t="inlineStr">
        <is>
          <t>2025-07-18 23:21:32.941 IST</t>
        </is>
      </c>
      <c r="M148" t="inlineStr">
        <is>
          <t>Soundariya B</t>
        </is>
      </c>
      <c r="N148" t="inlineStr">
        <is>
          <t>Yes</t>
        </is>
      </c>
      <c r="O148" t="inlineStr">
        <is>
          <t>Yes</t>
        </is>
      </c>
      <c r="P148" t="inlineStr">
        <is>
          <t>Soundariya B</t>
        </is>
      </c>
      <c r="Q148" t="inlineStr">
        <is>
          <t>Good</t>
        </is>
      </c>
    </row>
    <row r="149">
      <c r="A149" t="inlineStr">
        <is>
          <t>nakshatra.b</t>
        </is>
      </c>
      <c r="B149" t="inlineStr">
        <is>
          <t>Nakshatra Bhatia</t>
        </is>
      </c>
      <c r="C149" t="inlineStr">
        <is>
          <t>nakshatra.b@osmosys.co</t>
        </is>
      </c>
      <c r="D149" t="inlineStr">
        <is>
          <t>incident-reporter</t>
        </is>
      </c>
      <c r="E149">
        <f>HYPERLINK("http://gitlab.osmosys.co/incident-reporter/incident-reporter-app", "OQSHA Mobile App")</f>
        <v/>
      </c>
      <c r="F149">
        <f>HYPERLINK("http://gitlab.osmosys.co/incident-reporter/incident-reporter-app/-/merge_requests/1796", "feat: add duedate and assign status in app")</f>
        <v/>
      </c>
      <c r="G149" t="inlineStr">
        <is>
          <t>feat/duedate-validate-status-app</t>
        </is>
      </c>
      <c r="H149" t="inlineStr">
        <is>
          <t>sprint-17</t>
        </is>
      </c>
      <c r="I149" t="inlineStr">
        <is>
          <t>closed</t>
        </is>
      </c>
      <c r="J149" t="inlineStr">
        <is>
          <t>e5cb1acbaacc0f6ef3de7000d4a0ccf3c6c0fb64</t>
        </is>
      </c>
      <c r="K149">
        <f>HYPERLINK("http://gitlab.osmosys.co/incident-reporter/incident-reporter-app/-/merge_requests/1796#note_239127", "fixed it")</f>
        <v/>
      </c>
      <c r="L149" t="inlineStr">
        <is>
          <t>2025-07-21 11:21:32.851 IST</t>
        </is>
      </c>
      <c r="M149" t="inlineStr">
        <is>
          <t>Nakshatra Bhatia</t>
        </is>
      </c>
      <c r="N149" t="inlineStr">
        <is>
          <t>No</t>
        </is>
      </c>
      <c r="O149" t="inlineStr">
        <is>
          <t>Yes</t>
        </is>
      </c>
      <c r="P149" t="inlineStr">
        <is>
          <t>Soundariya B</t>
        </is>
      </c>
      <c r="Q149" t="inlineStr">
        <is>
          <t>Good</t>
        </is>
      </c>
    </row>
    <row r="150">
      <c r="A150" t="inlineStr">
        <is>
          <t>nakshatra.b</t>
        </is>
      </c>
      <c r="B150" t="inlineStr">
        <is>
          <t>Nakshatra Bhatia</t>
        </is>
      </c>
      <c r="C150" t="inlineStr">
        <is>
          <t>nakshatra.b@osmosys.co</t>
        </is>
      </c>
      <c r="D150" t="inlineStr">
        <is>
          <t>incident-reporter</t>
        </is>
      </c>
      <c r="E150">
        <f>HYPERLINK("http://gitlab.osmosys.co/incident-reporter/incident-reporter-app", "OQSHA Mobile App")</f>
        <v/>
      </c>
      <c r="F150">
        <f>HYPERLINK("http://gitlab.osmosys.co/incident-reporter/incident-reporter-app/-/merge_requests/1796", "feat: add duedate and assign status in app")</f>
        <v/>
      </c>
      <c r="G150" t="inlineStr">
        <is>
          <t>feat/duedate-validate-status-app</t>
        </is>
      </c>
      <c r="H150" t="inlineStr">
        <is>
          <t>sprint-17</t>
        </is>
      </c>
      <c r="I150" t="inlineStr">
        <is>
          <t>closed</t>
        </is>
      </c>
      <c r="J150" t="inlineStr">
        <is>
          <t>6ec777070bd7fed6480054523115504a9e54f6aa</t>
        </is>
      </c>
      <c r="K150">
        <f>HYPERLINK("http://gitlab.osmosys.co/incident-reporter/incident-reporter-app/-/merge_requests/1796#note_239033", "Rename it - currentTime")</f>
        <v/>
      </c>
      <c r="L150" t="inlineStr">
        <is>
          <t>2025-07-18 23:21:33.028 IST</t>
        </is>
      </c>
      <c r="M150" t="inlineStr">
        <is>
          <t>Soundariya B</t>
        </is>
      </c>
      <c r="N150" t="inlineStr">
        <is>
          <t>Yes</t>
        </is>
      </c>
      <c r="O150" t="inlineStr">
        <is>
          <t>Yes</t>
        </is>
      </c>
      <c r="P150" t="inlineStr">
        <is>
          <t>Soundariya B</t>
        </is>
      </c>
      <c r="Q150" t="inlineStr">
        <is>
          <t>Neutral</t>
        </is>
      </c>
    </row>
    <row r="151">
      <c r="A151" t="inlineStr">
        <is>
          <t>nakshatra.b</t>
        </is>
      </c>
      <c r="B151" t="inlineStr">
        <is>
          <t>Nakshatra Bhatia</t>
        </is>
      </c>
      <c r="C151" t="inlineStr">
        <is>
          <t>nakshatra.b@osmosys.co</t>
        </is>
      </c>
      <c r="D151" t="inlineStr">
        <is>
          <t>incident-reporter</t>
        </is>
      </c>
      <c r="E151">
        <f>HYPERLINK("http://gitlab.osmosys.co/incident-reporter/incident-reporter-app", "OQSHA Mobile App")</f>
        <v/>
      </c>
      <c r="F151">
        <f>HYPERLINK("http://gitlab.osmosys.co/incident-reporter/incident-reporter-app/-/merge_requests/1796", "feat: add duedate and assign status in app")</f>
        <v/>
      </c>
      <c r="G151" t="inlineStr">
        <is>
          <t>feat/duedate-validate-status-app</t>
        </is>
      </c>
      <c r="H151" t="inlineStr">
        <is>
          <t>sprint-17</t>
        </is>
      </c>
      <c r="I151" t="inlineStr">
        <is>
          <t>closed</t>
        </is>
      </c>
      <c r="J151" t="inlineStr">
        <is>
          <t>6ec777070bd7fed6480054523115504a9e54f6aa</t>
        </is>
      </c>
      <c r="K151">
        <f>HYPERLINK("http://gitlab.osmosys.co/incident-reporter/incident-reporter-app/-/merge_requests/1796#note_239135", "Actually same variable is used above so it is causing linting error here. I renamed it to currentTimestamp.")</f>
        <v/>
      </c>
      <c r="L151" t="inlineStr">
        <is>
          <t>2025-07-21 11:29:41.203 IST</t>
        </is>
      </c>
      <c r="M151" t="inlineStr">
        <is>
          <t>Nakshatra Bhatia</t>
        </is>
      </c>
      <c r="N151" t="inlineStr">
        <is>
          <t>No</t>
        </is>
      </c>
      <c r="O151" t="inlineStr">
        <is>
          <t>Yes</t>
        </is>
      </c>
      <c r="P151" t="inlineStr">
        <is>
          <t>Soundariya B</t>
        </is>
      </c>
      <c r="Q151" t="inlineStr">
        <is>
          <t>Neutral</t>
        </is>
      </c>
    </row>
    <row r="152">
      <c r="A152" t="inlineStr">
        <is>
          <t>nakshatra.b</t>
        </is>
      </c>
      <c r="B152" t="inlineStr">
        <is>
          <t>Nakshatra Bhatia</t>
        </is>
      </c>
      <c r="C152" t="inlineStr">
        <is>
          <t>nakshatra.b@osmosys.co</t>
        </is>
      </c>
      <c r="D152" t="inlineStr">
        <is>
          <t>incident-reporter</t>
        </is>
      </c>
      <c r="E152">
        <f>HYPERLINK("http://gitlab.osmosys.co/incident-reporter/incident-reporter-app", "OQSHA Mobile App")</f>
        <v/>
      </c>
      <c r="F152">
        <f>HYPERLINK("http://gitlab.osmosys.co/incident-reporter/incident-reporter-app/-/merge_requests/1796", "feat: add duedate and assign status in app")</f>
        <v/>
      </c>
      <c r="G152" t="inlineStr">
        <is>
          <t>feat/duedate-validate-status-app</t>
        </is>
      </c>
      <c r="H152" t="inlineStr">
        <is>
          <t>sprint-17</t>
        </is>
      </c>
      <c r="I152" t="inlineStr">
        <is>
          <t>closed</t>
        </is>
      </c>
      <c r="J152" t="inlineStr">
        <is>
          <t>f1568d24fa300683e0021b2139404d3c8072b109</t>
        </is>
      </c>
      <c r="K152">
        <f>HYPERLINK("http://gitlab.osmosys.co/incident-reporter/incident-reporter-app/-/merge_requests/1796#note_239034", "It should be - **moment**(this.dueTime, 'hh:mm:ss A').**utc**().**format**('HH:mm:ss')")</f>
        <v/>
      </c>
      <c r="L152" t="inlineStr">
        <is>
          <t>2025-07-18 23:21:33.079 IST</t>
        </is>
      </c>
      <c r="M152" t="inlineStr">
        <is>
          <t>Soundariya B</t>
        </is>
      </c>
      <c r="N152" t="inlineStr">
        <is>
          <t>Yes</t>
        </is>
      </c>
      <c r="O152" t="inlineStr">
        <is>
          <t>Yes</t>
        </is>
      </c>
      <c r="P152" t="inlineStr">
        <is>
          <t>Soundariya B</t>
        </is>
      </c>
      <c r="Q152" t="inlineStr">
        <is>
          <t>Good</t>
        </is>
      </c>
    </row>
    <row r="153">
      <c r="A153" t="inlineStr">
        <is>
          <t>nakshatra.b</t>
        </is>
      </c>
      <c r="B153" t="inlineStr">
        <is>
          <t>Nakshatra Bhatia</t>
        </is>
      </c>
      <c r="C153" t="inlineStr">
        <is>
          <t>nakshatra.b@osmosys.co</t>
        </is>
      </c>
      <c r="D153" t="inlineStr">
        <is>
          <t>incident-reporter</t>
        </is>
      </c>
      <c r="E153">
        <f>HYPERLINK("http://gitlab.osmosys.co/incident-reporter/incident-reporter-app", "OQSHA Mobile App")</f>
        <v/>
      </c>
      <c r="F153">
        <f>HYPERLINK("http://gitlab.osmosys.co/incident-reporter/incident-reporter-app/-/merge_requests/1796", "feat: add duedate and assign status in app")</f>
        <v/>
      </c>
      <c r="G153" t="inlineStr">
        <is>
          <t>feat/duedate-validate-status-app</t>
        </is>
      </c>
      <c r="H153" t="inlineStr">
        <is>
          <t>sprint-17</t>
        </is>
      </c>
      <c r="I153" t="inlineStr">
        <is>
          <t>closed</t>
        </is>
      </c>
      <c r="J153" t="inlineStr">
        <is>
          <t>f1568d24fa300683e0021b2139404d3c8072b109</t>
        </is>
      </c>
      <c r="K153">
        <f>HYPERLINK("http://gitlab.osmosys.co/incident-reporter/incident-reporter-app/-/merge_requests/1796#note_239129", "fixed it")</f>
        <v/>
      </c>
      <c r="L153" t="inlineStr">
        <is>
          <t>2025-07-21 11:25:58.618 IST</t>
        </is>
      </c>
      <c r="M153" t="inlineStr">
        <is>
          <t>Nakshatra Bhatia</t>
        </is>
      </c>
      <c r="N153" t="inlineStr">
        <is>
          <t>No</t>
        </is>
      </c>
      <c r="O153" t="inlineStr">
        <is>
          <t>Yes</t>
        </is>
      </c>
      <c r="P153" t="inlineStr">
        <is>
          <t>Soundariya B</t>
        </is>
      </c>
      <c r="Q153" t="inlineStr">
        <is>
          <t>Good</t>
        </is>
      </c>
    </row>
    <row r="154">
      <c r="A154" t="inlineStr">
        <is>
          <t>nakshatra.b</t>
        </is>
      </c>
      <c r="B154" t="inlineStr">
        <is>
          <t>Nakshatra Bhatia</t>
        </is>
      </c>
      <c r="C154" t="inlineStr">
        <is>
          <t>nakshatra.b@osmosys.co</t>
        </is>
      </c>
      <c r="D154" t="inlineStr">
        <is>
          <t>incident-reporter</t>
        </is>
      </c>
      <c r="E154">
        <f>HYPERLINK("http://gitlab.osmosys.co/incident-reporter/incident-reporter-app", "OQSHA Mobile App")</f>
        <v/>
      </c>
      <c r="F154">
        <f>HYPERLINK("http://gitlab.osmosys.co/incident-reporter/incident-reporter-app/-/merge_requests/1796", "feat: add duedate and assign status in app")</f>
        <v/>
      </c>
      <c r="G154" t="inlineStr">
        <is>
          <t>feat/duedate-validate-status-app</t>
        </is>
      </c>
      <c r="H154" t="inlineStr">
        <is>
          <t>sprint-17</t>
        </is>
      </c>
      <c r="I154" t="inlineStr">
        <is>
          <t>closed</t>
        </is>
      </c>
      <c r="J154" t="inlineStr">
        <is>
          <t>62b2ab91ed4a69ca7d188353173ab62846ade15f</t>
        </is>
      </c>
      <c r="K154">
        <f>HYPERLINK("http://gitlab.osmosys.co/incident-reporter/incident-reporter-app/-/merge_requests/1796#note_239035", "Take from lang files")</f>
        <v/>
      </c>
      <c r="L154" t="inlineStr">
        <is>
          <t>2025-07-18 23:21:33.163 IST</t>
        </is>
      </c>
      <c r="M154" t="inlineStr">
        <is>
          <t>Soundariya B</t>
        </is>
      </c>
      <c r="N154" t="inlineStr">
        <is>
          <t>Yes</t>
        </is>
      </c>
      <c r="O154" t="inlineStr">
        <is>
          <t>Yes</t>
        </is>
      </c>
      <c r="P154" t="inlineStr">
        <is>
          <t>Soundariya B</t>
        </is>
      </c>
      <c r="Q154" t="inlineStr">
        <is>
          <t>Bad</t>
        </is>
      </c>
    </row>
    <row r="155">
      <c r="A155" t="inlineStr">
        <is>
          <t>nakshatra.b</t>
        </is>
      </c>
      <c r="B155" t="inlineStr">
        <is>
          <t>Nakshatra Bhatia</t>
        </is>
      </c>
      <c r="C155" t="inlineStr">
        <is>
          <t>nakshatra.b@osmosys.co</t>
        </is>
      </c>
      <c r="D155" t="inlineStr">
        <is>
          <t>incident-reporter</t>
        </is>
      </c>
      <c r="E155">
        <f>HYPERLINK("http://gitlab.osmosys.co/incident-reporter/incident-reporter-app", "OQSHA Mobile App")</f>
        <v/>
      </c>
      <c r="F155">
        <f>HYPERLINK("http://gitlab.osmosys.co/incident-reporter/incident-reporter-app/-/merge_requests/1796", "feat: add duedate and assign status in app")</f>
        <v/>
      </c>
      <c r="G155" t="inlineStr">
        <is>
          <t>feat/duedate-validate-status-app</t>
        </is>
      </c>
      <c r="H155" t="inlineStr">
        <is>
          <t>sprint-17</t>
        </is>
      </c>
      <c r="I155" t="inlineStr">
        <is>
          <t>closed</t>
        </is>
      </c>
      <c r="J155" t="inlineStr">
        <is>
          <t>62b2ab91ed4a69ca7d188353173ab62846ade15f</t>
        </is>
      </c>
      <c r="K155">
        <f>HYPERLINK("http://gitlab.osmosys.co/incident-reporter/incident-reporter-app/-/merge_requests/1796#note_239121", "fixed it")</f>
        <v/>
      </c>
      <c r="L155" t="inlineStr">
        <is>
          <t>2025-07-21 11:13:35.781 IST</t>
        </is>
      </c>
      <c r="M155" t="inlineStr">
        <is>
          <t>Nakshatra Bhatia</t>
        </is>
      </c>
      <c r="N155" t="inlineStr">
        <is>
          <t>No</t>
        </is>
      </c>
      <c r="O155" t="inlineStr">
        <is>
          <t>Yes</t>
        </is>
      </c>
      <c r="P155" t="inlineStr">
        <is>
          <t>Soundariya B</t>
        </is>
      </c>
      <c r="Q155" t="inlineStr">
        <is>
          <t>Bad</t>
        </is>
      </c>
    </row>
    <row r="156">
      <c r="A156" t="inlineStr">
        <is>
          <t>nakshatra.b</t>
        </is>
      </c>
      <c r="B156" t="inlineStr">
        <is>
          <t>Nakshatra Bhatia</t>
        </is>
      </c>
      <c r="C156" t="inlineStr">
        <is>
          <t>nakshatra.b@osmosys.co</t>
        </is>
      </c>
      <c r="D156" t="inlineStr">
        <is>
          <t>incident-reporter</t>
        </is>
      </c>
      <c r="E156">
        <f>HYPERLINK("http://gitlab.osmosys.co/incident-reporter/incident-reporter-app", "OQSHA Mobile App")</f>
        <v/>
      </c>
      <c r="F156">
        <f>HYPERLINK("http://gitlab.osmosys.co/incident-reporter/incident-reporter-app/-/merge_requests/1796", "feat: add duedate and assign status in app")</f>
        <v/>
      </c>
      <c r="G156" t="inlineStr">
        <is>
          <t>feat/duedate-validate-status-app</t>
        </is>
      </c>
      <c r="H156" t="inlineStr">
        <is>
          <t>sprint-17</t>
        </is>
      </c>
      <c r="I156" t="inlineStr">
        <is>
          <t>closed</t>
        </is>
      </c>
      <c r="J156" t="inlineStr">
        <is>
          <t>8c6ac05b4dd4baa65d0d70e001f36d099d9357f1</t>
        </is>
      </c>
      <c r="K156">
        <f>HYPERLINK("http://gitlab.osmosys.co/incident-reporter/incident-reporter-app/-/merge_requests/1796#note_239036", "Take from lang files")</f>
        <v/>
      </c>
      <c r="L156" t="inlineStr">
        <is>
          <t>2025-07-18 23:21:33.214 IST</t>
        </is>
      </c>
      <c r="M156" t="inlineStr">
        <is>
          <t>Soundariya B</t>
        </is>
      </c>
      <c r="N156" t="inlineStr">
        <is>
          <t>Yes</t>
        </is>
      </c>
      <c r="O156" t="inlineStr">
        <is>
          <t>Yes</t>
        </is>
      </c>
      <c r="P156" t="inlineStr">
        <is>
          <t>Soundariya B</t>
        </is>
      </c>
      <c r="Q156" t="inlineStr">
        <is>
          <t>Bad</t>
        </is>
      </c>
    </row>
    <row r="157">
      <c r="A157" t="inlineStr">
        <is>
          <t>nakshatra.b</t>
        </is>
      </c>
      <c r="B157" t="inlineStr">
        <is>
          <t>Nakshatra Bhatia</t>
        </is>
      </c>
      <c r="C157" t="inlineStr">
        <is>
          <t>nakshatra.b@osmosys.co</t>
        </is>
      </c>
      <c r="D157" t="inlineStr">
        <is>
          <t>incident-reporter</t>
        </is>
      </c>
      <c r="E157">
        <f>HYPERLINK("http://gitlab.osmosys.co/incident-reporter/incident-reporter-app", "OQSHA Mobile App")</f>
        <v/>
      </c>
      <c r="F157">
        <f>HYPERLINK("http://gitlab.osmosys.co/incident-reporter/incident-reporter-app/-/merge_requests/1796", "feat: add duedate and assign status in app")</f>
        <v/>
      </c>
      <c r="G157" t="inlineStr">
        <is>
          <t>feat/duedate-validate-status-app</t>
        </is>
      </c>
      <c r="H157" t="inlineStr">
        <is>
          <t>sprint-17</t>
        </is>
      </c>
      <c r="I157" t="inlineStr">
        <is>
          <t>closed</t>
        </is>
      </c>
      <c r="J157" t="inlineStr">
        <is>
          <t>8c6ac05b4dd4baa65d0d70e001f36d099d9357f1</t>
        </is>
      </c>
      <c r="K157">
        <f>HYPERLINK("http://gitlab.osmosys.co/incident-reporter/incident-reporter-app/-/merge_requests/1796#note_239122", "fixed it")</f>
        <v/>
      </c>
      <c r="L157" t="inlineStr">
        <is>
          <t>2025-07-21 11:13:53.810 IST</t>
        </is>
      </c>
      <c r="M157" t="inlineStr">
        <is>
          <t>Nakshatra Bhatia</t>
        </is>
      </c>
      <c r="N157" t="inlineStr">
        <is>
          <t>No</t>
        </is>
      </c>
      <c r="O157" t="inlineStr">
        <is>
          <t>Yes</t>
        </is>
      </c>
      <c r="P157" t="inlineStr">
        <is>
          <t>Soundariya B</t>
        </is>
      </c>
      <c r="Q157" t="inlineStr">
        <is>
          <t>Bad</t>
        </is>
      </c>
    </row>
    <row r="158">
      <c r="A158" t="inlineStr">
        <is>
          <t>nakshatra.b</t>
        </is>
      </c>
      <c r="B158" t="inlineStr">
        <is>
          <t>Nakshatra Bhatia</t>
        </is>
      </c>
      <c r="C158" t="inlineStr">
        <is>
          <t>nakshatra.b@osmosys.co</t>
        </is>
      </c>
      <c r="D158" t="inlineStr">
        <is>
          <t>incident-reporter</t>
        </is>
      </c>
      <c r="E158">
        <f>HYPERLINK("http://gitlab.osmosys.co/incident-reporter/incident-reporter-app", "OQSHA Mobile App")</f>
        <v/>
      </c>
      <c r="F158">
        <f>HYPERLINK("http://gitlab.osmosys.co/incident-reporter/incident-reporter-app/-/merge_requests/1796", "feat: add duedate and assign status in app")</f>
        <v/>
      </c>
      <c r="G158" t="inlineStr">
        <is>
          <t>feat/duedate-validate-status-app</t>
        </is>
      </c>
      <c r="H158" t="inlineStr">
        <is>
          <t>sprint-17</t>
        </is>
      </c>
      <c r="I158" t="inlineStr">
        <is>
          <t>closed</t>
        </is>
      </c>
      <c r="J158" t="inlineStr">
        <is>
          <t>ea157f21f497f9a5faaf6fb652e010a00c64427e</t>
        </is>
      </c>
      <c r="K158">
        <f>HYPERLINK("http://gitlab.osmosys.co/incident-reporter/incident-reporter-app/-/merge_requests/1796#note_239037", "Get the hardcoded value from constant file")</f>
        <v/>
      </c>
      <c r="L158" t="inlineStr">
        <is>
          <t>2025-07-18 23:21:33.274 IST</t>
        </is>
      </c>
      <c r="M158" t="inlineStr">
        <is>
          <t>Soundariya B</t>
        </is>
      </c>
      <c r="N158" t="inlineStr">
        <is>
          <t>Yes</t>
        </is>
      </c>
      <c r="O158" t="inlineStr">
        <is>
          <t>Yes</t>
        </is>
      </c>
      <c r="P158" t="inlineStr">
        <is>
          <t>Soundariya B</t>
        </is>
      </c>
      <c r="Q158" t="inlineStr">
        <is>
          <t>Bad</t>
        </is>
      </c>
    </row>
    <row r="159">
      <c r="A159" t="inlineStr">
        <is>
          <t>nakshatra.b</t>
        </is>
      </c>
      <c r="B159" t="inlineStr">
        <is>
          <t>Nakshatra Bhatia</t>
        </is>
      </c>
      <c r="C159" t="inlineStr">
        <is>
          <t>nakshatra.b@osmosys.co</t>
        </is>
      </c>
      <c r="D159" t="inlineStr">
        <is>
          <t>incident-reporter</t>
        </is>
      </c>
      <c r="E159">
        <f>HYPERLINK("http://gitlab.osmosys.co/incident-reporter/incident-reporter-app", "OQSHA Mobile App")</f>
        <v/>
      </c>
      <c r="F159">
        <f>HYPERLINK("http://gitlab.osmosys.co/incident-reporter/incident-reporter-app/-/merge_requests/1796", "feat: add duedate and assign status in app")</f>
        <v/>
      </c>
      <c r="G159" t="inlineStr">
        <is>
          <t>feat/duedate-validate-status-app</t>
        </is>
      </c>
      <c r="H159" t="inlineStr">
        <is>
          <t>sprint-17</t>
        </is>
      </c>
      <c r="I159" t="inlineStr">
        <is>
          <t>closed</t>
        </is>
      </c>
      <c r="J159" t="inlineStr">
        <is>
          <t>ea157f21f497f9a5faaf6fb652e010a00c64427e</t>
        </is>
      </c>
      <c r="K159">
        <f>HYPERLINK("http://gitlab.osmosys.co/incident-reporter/incident-reporter-app/-/merge_requests/1796#note_239146", "fixed it")</f>
        <v/>
      </c>
      <c r="L159" t="inlineStr">
        <is>
          <t>2025-07-21 11:41:00.276 IST</t>
        </is>
      </c>
      <c r="M159" t="inlineStr">
        <is>
          <t>Nakshatra Bhatia</t>
        </is>
      </c>
      <c r="N159" t="inlineStr">
        <is>
          <t>No</t>
        </is>
      </c>
      <c r="O159" t="inlineStr">
        <is>
          <t>Yes</t>
        </is>
      </c>
      <c r="P159" t="inlineStr">
        <is>
          <t>Soundariya B</t>
        </is>
      </c>
      <c r="Q159" t="inlineStr">
        <is>
          <t>Bad</t>
        </is>
      </c>
    </row>
    <row r="160">
      <c r="A160" t="inlineStr">
        <is>
          <t>nakshatra.b</t>
        </is>
      </c>
      <c r="B160" t="inlineStr">
        <is>
          <t>Nakshatra Bhatia</t>
        </is>
      </c>
      <c r="C160" t="inlineStr">
        <is>
          <t>nakshatra.b@osmosys.co</t>
        </is>
      </c>
      <c r="D160" t="inlineStr">
        <is>
          <t>incident-reporter</t>
        </is>
      </c>
      <c r="E160">
        <f>HYPERLINK("http://gitlab.osmosys.co/incident-reporter/incident-reporter-app", "OQSHA Mobile App")</f>
        <v/>
      </c>
      <c r="F160">
        <f>HYPERLINK("http://gitlab.osmosys.co/incident-reporter/incident-reporter-app/-/merge_requests/1796", "feat: add duedate and assign status in app")</f>
        <v/>
      </c>
      <c r="G160" t="inlineStr">
        <is>
          <t>feat/duedate-validate-status-app</t>
        </is>
      </c>
      <c r="H160" t="inlineStr">
        <is>
          <t>sprint-17</t>
        </is>
      </c>
      <c r="I160" t="inlineStr">
        <is>
          <t>closed</t>
        </is>
      </c>
      <c r="J160" t="inlineStr">
        <is>
          <t>89ac2f7b70e8573054b50eefcded0840d96807df</t>
        </is>
      </c>
      <c r="K160">
        <f>HYPERLINK("http://gitlab.osmosys.co/incident-reporter/incident-reporter-app/-/merge_requests/1796#note_239038", "Use the meaningful variable names")</f>
        <v/>
      </c>
      <c r="L160" t="inlineStr">
        <is>
          <t>2025-07-18 23:21:33.367 IST</t>
        </is>
      </c>
      <c r="M160" t="inlineStr">
        <is>
          <t>Soundariya B</t>
        </is>
      </c>
      <c r="N160" t="inlineStr">
        <is>
          <t>Yes</t>
        </is>
      </c>
      <c r="O160" t="inlineStr">
        <is>
          <t>Yes</t>
        </is>
      </c>
      <c r="P160" t="inlineStr">
        <is>
          <t>Soundariya B</t>
        </is>
      </c>
      <c r="Q160" t="inlineStr">
        <is>
          <t>Bad</t>
        </is>
      </c>
    </row>
    <row r="161">
      <c r="A161" t="inlineStr">
        <is>
          <t>nakshatra.b</t>
        </is>
      </c>
      <c r="B161" t="inlineStr">
        <is>
          <t>Nakshatra Bhatia</t>
        </is>
      </c>
      <c r="C161" t="inlineStr">
        <is>
          <t>nakshatra.b@osmosys.co</t>
        </is>
      </c>
      <c r="D161" t="inlineStr">
        <is>
          <t>incident-reporter</t>
        </is>
      </c>
      <c r="E161">
        <f>HYPERLINK("http://gitlab.osmosys.co/incident-reporter/incident-reporter-app", "OQSHA Mobile App")</f>
        <v/>
      </c>
      <c r="F161">
        <f>HYPERLINK("http://gitlab.osmosys.co/incident-reporter/incident-reporter-app/-/merge_requests/1796", "feat: add duedate and assign status in app")</f>
        <v/>
      </c>
      <c r="G161" t="inlineStr">
        <is>
          <t>feat/duedate-validate-status-app</t>
        </is>
      </c>
      <c r="H161" t="inlineStr">
        <is>
          <t>sprint-17</t>
        </is>
      </c>
      <c r="I161" t="inlineStr">
        <is>
          <t>closed</t>
        </is>
      </c>
      <c r="J161" t="inlineStr">
        <is>
          <t>89ac2f7b70e8573054b50eefcded0840d96807df</t>
        </is>
      </c>
      <c r="K161">
        <f>HYPERLINK("http://gitlab.osmosys.co/incident-reporter/incident-reporter-app/-/merge_requests/1796#note_239147", "fixed it")</f>
        <v/>
      </c>
      <c r="L161" t="inlineStr">
        <is>
          <t>2025-07-21 11:42:41.708 IST</t>
        </is>
      </c>
      <c r="M161" t="inlineStr">
        <is>
          <t>Nakshatra Bhatia</t>
        </is>
      </c>
      <c r="N161" t="inlineStr">
        <is>
          <t>No</t>
        </is>
      </c>
      <c r="O161" t="inlineStr">
        <is>
          <t>Yes</t>
        </is>
      </c>
      <c r="P161" t="inlineStr">
        <is>
          <t>Soundariya B</t>
        </is>
      </c>
      <c r="Q161" t="inlineStr">
        <is>
          <t>Bad</t>
        </is>
      </c>
    </row>
    <row r="162">
      <c r="A162" t="inlineStr">
        <is>
          <t>nakshatra.b</t>
        </is>
      </c>
      <c r="B162" t="inlineStr">
        <is>
          <t>Nakshatra Bhatia</t>
        </is>
      </c>
      <c r="C162" t="inlineStr">
        <is>
          <t>nakshatra.b@osmosys.co</t>
        </is>
      </c>
      <c r="D162" t="inlineStr">
        <is>
          <t>incident-reporter</t>
        </is>
      </c>
      <c r="E162">
        <f>HYPERLINK("http://gitlab.osmosys.co/incident-reporter/incident-reporter-app", "OQSHA Mobile App")</f>
        <v/>
      </c>
      <c r="F162">
        <f>HYPERLINK("http://gitlab.osmosys.co/incident-reporter/incident-reporter-app/-/merge_requests/1796", "feat: add duedate and assign status in app")</f>
        <v/>
      </c>
      <c r="G162" t="inlineStr">
        <is>
          <t>feat/duedate-validate-status-app</t>
        </is>
      </c>
      <c r="H162" t="inlineStr">
        <is>
          <t>sprint-17</t>
        </is>
      </c>
      <c r="I162" t="inlineStr">
        <is>
          <t>closed</t>
        </is>
      </c>
      <c r="J162" t="inlineStr">
        <is>
          <t>3fd7ef17a327eb526a18708aa21fb79f72d11e92</t>
        </is>
      </c>
      <c r="K162">
        <f>HYPERLINK("http://gitlab.osmosys.co/incident-reporter/incident-reporter-app/-/merge_requests/1796#note_239039", "This logic is using more than one place so please reuse it and improve it")</f>
        <v/>
      </c>
      <c r="L162" t="inlineStr">
        <is>
          <t>2025-07-18 23:21:33.418 IST</t>
        </is>
      </c>
      <c r="M162" t="inlineStr">
        <is>
          <t>Soundariya B</t>
        </is>
      </c>
      <c r="N162" t="inlineStr">
        <is>
          <t>Yes</t>
        </is>
      </c>
      <c r="O162" t="inlineStr">
        <is>
          <t>Yes</t>
        </is>
      </c>
      <c r="P162" t="inlineStr">
        <is>
          <t>Soundariya B</t>
        </is>
      </c>
      <c r="Q162" t="inlineStr">
        <is>
          <t>Bad</t>
        </is>
      </c>
    </row>
    <row r="163">
      <c r="A163" t="inlineStr">
        <is>
          <t>nakshatra.b</t>
        </is>
      </c>
      <c r="B163" t="inlineStr">
        <is>
          <t>Nakshatra Bhatia</t>
        </is>
      </c>
      <c r="C163" t="inlineStr">
        <is>
          <t>nakshatra.b@osmosys.co</t>
        </is>
      </c>
      <c r="D163" t="inlineStr">
        <is>
          <t>incident-reporter</t>
        </is>
      </c>
      <c r="E163">
        <f>HYPERLINK("http://gitlab.osmosys.co/incident-reporter/incident-reporter-app", "OQSHA Mobile App")</f>
        <v/>
      </c>
      <c r="F163">
        <f>HYPERLINK("http://gitlab.osmosys.co/incident-reporter/incident-reporter-app/-/merge_requests/1796", "feat: add duedate and assign status in app")</f>
        <v/>
      </c>
      <c r="G163" t="inlineStr">
        <is>
          <t>feat/duedate-validate-status-app</t>
        </is>
      </c>
      <c r="H163" t="inlineStr">
        <is>
          <t>sprint-17</t>
        </is>
      </c>
      <c r="I163" t="inlineStr">
        <is>
          <t>closed</t>
        </is>
      </c>
      <c r="J163" t="inlineStr">
        <is>
          <t>3fd7ef17a327eb526a18708aa21fb79f72d11e92</t>
        </is>
      </c>
      <c r="K163">
        <f>HYPERLINK("http://gitlab.osmosys.co/incident-reporter/incident-reporter-app/-/merge_requests/1796#note_239059", "fixed it")</f>
        <v/>
      </c>
      <c r="L163" t="inlineStr">
        <is>
          <t>2025-07-19 00:30:39.804 IST</t>
        </is>
      </c>
      <c r="M163" t="inlineStr">
        <is>
          <t>Nakshatra Bhatia</t>
        </is>
      </c>
      <c r="N163" t="inlineStr">
        <is>
          <t>No</t>
        </is>
      </c>
      <c r="O163" t="inlineStr">
        <is>
          <t>Yes</t>
        </is>
      </c>
      <c r="P163" t="inlineStr">
        <is>
          <t>Soundariya B</t>
        </is>
      </c>
      <c r="Q163" t="inlineStr">
        <is>
          <t>Bad</t>
        </is>
      </c>
    </row>
    <row r="164">
      <c r="A164" t="inlineStr">
        <is>
          <t>nakshatra.b</t>
        </is>
      </c>
      <c r="B164" t="inlineStr">
        <is>
          <t>Nakshatra Bhatia</t>
        </is>
      </c>
      <c r="C164" t="inlineStr">
        <is>
          <t>nakshatra.b@osmosys.co</t>
        </is>
      </c>
      <c r="D164" t="inlineStr">
        <is>
          <t>incident-reporter</t>
        </is>
      </c>
      <c r="E164">
        <f>HYPERLINK("http://gitlab.osmosys.co/incident-reporter/incident-reporter-app", "OQSHA Mobile App")</f>
        <v/>
      </c>
      <c r="F164">
        <f>HYPERLINK("http://gitlab.osmosys.co/incident-reporter/incident-reporter-app/-/merge_requests/1796", "feat: add duedate and assign status in app")</f>
        <v/>
      </c>
      <c r="G164" t="inlineStr">
        <is>
          <t>feat/duedate-validate-status-app</t>
        </is>
      </c>
      <c r="H164" t="inlineStr">
        <is>
          <t>sprint-17</t>
        </is>
      </c>
      <c r="I164" t="inlineStr">
        <is>
          <t>closed</t>
        </is>
      </c>
      <c r="J164" t="inlineStr">
        <is>
          <t>619b42b19dd1b7c28ff71718ab603784252cdeae</t>
        </is>
      </c>
      <c r="K164">
        <f>HYPERLINK("http://gitlab.osmosys.co/incident-reporter/incident-reporter-app/-/merge_requests/1796#note_239040", "Remove the comment")</f>
        <v/>
      </c>
      <c r="L164" t="inlineStr">
        <is>
          <t>2025-07-18 23:21:33.473 IST</t>
        </is>
      </c>
      <c r="M164" t="inlineStr">
        <is>
          <t>Soundariya B</t>
        </is>
      </c>
      <c r="N164" t="inlineStr">
        <is>
          <t>Yes</t>
        </is>
      </c>
      <c r="O164" t="inlineStr">
        <is>
          <t>Yes</t>
        </is>
      </c>
      <c r="P164" t="inlineStr">
        <is>
          <t>Soundariya B</t>
        </is>
      </c>
      <c r="Q164" t="inlineStr">
        <is>
          <t>Bad</t>
        </is>
      </c>
    </row>
    <row r="165">
      <c r="A165" t="inlineStr">
        <is>
          <t>nakshatra.b</t>
        </is>
      </c>
      <c r="B165" t="inlineStr">
        <is>
          <t>Nakshatra Bhatia</t>
        </is>
      </c>
      <c r="C165" t="inlineStr">
        <is>
          <t>nakshatra.b@osmosys.co</t>
        </is>
      </c>
      <c r="D165" t="inlineStr">
        <is>
          <t>incident-reporter</t>
        </is>
      </c>
      <c r="E165">
        <f>HYPERLINK("http://gitlab.osmosys.co/incident-reporter/incident-reporter-app", "OQSHA Mobile App")</f>
        <v/>
      </c>
      <c r="F165">
        <f>HYPERLINK("http://gitlab.osmosys.co/incident-reporter/incident-reporter-app/-/merge_requests/1796", "feat: add duedate and assign status in app")</f>
        <v/>
      </c>
      <c r="G165" t="inlineStr">
        <is>
          <t>feat/duedate-validate-status-app</t>
        </is>
      </c>
      <c r="H165" t="inlineStr">
        <is>
          <t>sprint-17</t>
        </is>
      </c>
      <c r="I165" t="inlineStr">
        <is>
          <t>closed</t>
        </is>
      </c>
      <c r="J165" t="inlineStr">
        <is>
          <t>619b42b19dd1b7c28ff71718ab603784252cdeae</t>
        </is>
      </c>
      <c r="K165">
        <f>HYPERLINK("http://gitlab.osmosys.co/incident-reporter/incident-reporter-app/-/merge_requests/1796#note_239057", "fixed it")</f>
        <v/>
      </c>
      <c r="L165" t="inlineStr">
        <is>
          <t>2025-07-18 23:51:27.876 IST</t>
        </is>
      </c>
      <c r="M165" t="inlineStr">
        <is>
          <t>Nakshatra Bhatia</t>
        </is>
      </c>
      <c r="N165" t="inlineStr">
        <is>
          <t>No</t>
        </is>
      </c>
      <c r="O165" t="inlineStr">
        <is>
          <t>Yes</t>
        </is>
      </c>
      <c r="P165" t="inlineStr">
        <is>
          <t>Soundariya B</t>
        </is>
      </c>
      <c r="Q165" t="inlineStr">
        <is>
          <t>Bad</t>
        </is>
      </c>
    </row>
    <row r="166">
      <c r="A166" t="inlineStr">
        <is>
          <t>nakshatra.b</t>
        </is>
      </c>
      <c r="B166" t="inlineStr">
        <is>
          <t>Nakshatra Bhatia</t>
        </is>
      </c>
      <c r="C166" t="inlineStr">
        <is>
          <t>nakshatra.b@osmosys.co</t>
        </is>
      </c>
      <c r="D166" t="inlineStr">
        <is>
          <t>incident-reporter</t>
        </is>
      </c>
      <c r="E166">
        <f>HYPERLINK("http://gitlab.osmosys.co/incident-reporter/incident-reporter-app", "OQSHA Mobile App")</f>
        <v/>
      </c>
      <c r="F166">
        <f>HYPERLINK("http://gitlab.osmosys.co/incident-reporter/incident-reporter-app/-/merge_requests/1796", "feat: add duedate and assign status in app")</f>
        <v/>
      </c>
      <c r="G166" t="inlineStr">
        <is>
          <t>feat/duedate-validate-status-app</t>
        </is>
      </c>
      <c r="H166" t="inlineStr">
        <is>
          <t>sprint-17</t>
        </is>
      </c>
      <c r="I166" t="inlineStr">
        <is>
          <t>closed</t>
        </is>
      </c>
      <c r="J166" t="inlineStr">
        <is>
          <t>b54286e993a9878174ddc639cc4582f1b6203c04</t>
        </is>
      </c>
      <c r="K166">
        <f>HYPERLINK("http://gitlab.osmosys.co/incident-reporter/incident-reporter-app/-/merge_requests/1796#note_239041", "These lines of code are using more than one time so please improve it and reuse it")</f>
        <v/>
      </c>
      <c r="L166" t="inlineStr">
        <is>
          <t>2025-07-18 23:21:33.525 IST</t>
        </is>
      </c>
      <c r="M166" t="inlineStr">
        <is>
          <t>Soundariya B</t>
        </is>
      </c>
      <c r="N166" t="inlineStr">
        <is>
          <t>Yes</t>
        </is>
      </c>
      <c r="O166" t="inlineStr">
        <is>
          <t>Yes</t>
        </is>
      </c>
      <c r="P166" t="inlineStr">
        <is>
          <t>Soundariya B</t>
        </is>
      </c>
      <c r="Q166" t="inlineStr">
        <is>
          <t>Bad</t>
        </is>
      </c>
    </row>
    <row r="167">
      <c r="A167" t="inlineStr">
        <is>
          <t>nakshatra.b</t>
        </is>
      </c>
      <c r="B167" t="inlineStr">
        <is>
          <t>Nakshatra Bhatia</t>
        </is>
      </c>
      <c r="C167" t="inlineStr">
        <is>
          <t>nakshatra.b@osmosys.co</t>
        </is>
      </c>
      <c r="D167" t="inlineStr">
        <is>
          <t>incident-reporter</t>
        </is>
      </c>
      <c r="E167">
        <f>HYPERLINK("http://gitlab.osmosys.co/incident-reporter/incident-reporter-app", "OQSHA Mobile App")</f>
        <v/>
      </c>
      <c r="F167">
        <f>HYPERLINK("http://gitlab.osmosys.co/incident-reporter/incident-reporter-app/-/merge_requests/1796", "feat: add duedate and assign status in app")</f>
        <v/>
      </c>
      <c r="G167" t="inlineStr">
        <is>
          <t>feat/duedate-validate-status-app</t>
        </is>
      </c>
      <c r="H167" t="inlineStr">
        <is>
          <t>sprint-17</t>
        </is>
      </c>
      <c r="I167" t="inlineStr">
        <is>
          <t>closed</t>
        </is>
      </c>
      <c r="J167" t="inlineStr">
        <is>
          <t>b54286e993a9878174ddc639cc4582f1b6203c04</t>
        </is>
      </c>
      <c r="K167">
        <f>HYPERLINK("http://gitlab.osmosys.co/incident-reporter/incident-reporter-app/-/merge_requests/1796#note_239167", "fixed it added a function call to reduce redundancy")</f>
        <v/>
      </c>
      <c r="L167" t="inlineStr">
        <is>
          <t>2025-07-21 11:57:19.433 IST</t>
        </is>
      </c>
      <c r="M167" t="inlineStr">
        <is>
          <t>Nakshatra Bhatia</t>
        </is>
      </c>
      <c r="N167" t="inlineStr">
        <is>
          <t>No</t>
        </is>
      </c>
      <c r="O167" t="inlineStr">
        <is>
          <t>Yes</t>
        </is>
      </c>
      <c r="P167" t="inlineStr">
        <is>
          <t>Soundariya B</t>
        </is>
      </c>
      <c r="Q167" t="inlineStr">
        <is>
          <t>Bad</t>
        </is>
      </c>
    </row>
    <row r="168">
      <c r="A168" t="inlineStr">
        <is>
          <t>nakshatra.b</t>
        </is>
      </c>
      <c r="B168" t="inlineStr">
        <is>
          <t>Nakshatra Bhatia</t>
        </is>
      </c>
      <c r="C168" t="inlineStr">
        <is>
          <t>nakshatra.b@osmosys.co</t>
        </is>
      </c>
      <c r="D168" t="inlineStr">
        <is>
          <t>incident-reporter</t>
        </is>
      </c>
      <c r="E168">
        <f>HYPERLINK("http://gitlab.osmosys.co/incident-reporter/incident-reporter-app", "OQSHA Mobile App")</f>
        <v/>
      </c>
      <c r="F168">
        <f>HYPERLINK("http://gitlab.osmosys.co/incident-reporter/incident-reporter-app/-/merge_requests/1796", "feat: add duedate and assign status in app")</f>
        <v/>
      </c>
      <c r="G168" t="inlineStr">
        <is>
          <t>feat/duedate-validate-status-app</t>
        </is>
      </c>
      <c r="H168" t="inlineStr">
        <is>
          <t>sprint-17</t>
        </is>
      </c>
      <c r="I168" t="inlineStr">
        <is>
          <t>closed</t>
        </is>
      </c>
      <c r="J168" t="inlineStr">
        <is>
          <t>3d061d936f5a169294587ab46764b41211d43862</t>
        </is>
      </c>
      <c r="K168">
        <f>HYPERLINK("http://gitlab.osmosys.co/incident-reporter/incident-reporter-app/-/merge_requests/1796#note_239042", "Same here use the meaningful variable")</f>
        <v/>
      </c>
      <c r="L168" t="inlineStr">
        <is>
          <t>2025-07-18 23:21:33.580 IST</t>
        </is>
      </c>
      <c r="M168" t="inlineStr">
        <is>
          <t>Soundariya B</t>
        </is>
      </c>
      <c r="N168" t="inlineStr">
        <is>
          <t>Yes</t>
        </is>
      </c>
      <c r="O168" t="inlineStr">
        <is>
          <t>Yes</t>
        </is>
      </c>
      <c r="P168" t="inlineStr">
        <is>
          <t>Soundariya B</t>
        </is>
      </c>
      <c r="Q168" t="inlineStr">
        <is>
          <t>Bad</t>
        </is>
      </c>
    </row>
    <row r="169">
      <c r="A169" t="inlineStr">
        <is>
          <t>nakshatra.b</t>
        </is>
      </c>
      <c r="B169" t="inlineStr">
        <is>
          <t>Nakshatra Bhatia</t>
        </is>
      </c>
      <c r="C169" t="inlineStr">
        <is>
          <t>nakshatra.b@osmosys.co</t>
        </is>
      </c>
      <c r="D169" t="inlineStr">
        <is>
          <t>incident-reporter</t>
        </is>
      </c>
      <c r="E169">
        <f>HYPERLINK("http://gitlab.osmosys.co/incident-reporter/incident-reporter-app", "OQSHA Mobile App")</f>
        <v/>
      </c>
      <c r="F169">
        <f>HYPERLINK("http://gitlab.osmosys.co/incident-reporter/incident-reporter-app/-/merge_requests/1796", "feat: add duedate and assign status in app")</f>
        <v/>
      </c>
      <c r="G169" t="inlineStr">
        <is>
          <t>feat/duedate-validate-status-app</t>
        </is>
      </c>
      <c r="H169" t="inlineStr">
        <is>
          <t>sprint-17</t>
        </is>
      </c>
      <c r="I169" t="inlineStr">
        <is>
          <t>closed</t>
        </is>
      </c>
      <c r="J169" t="inlineStr">
        <is>
          <t>3d061d936f5a169294587ab46764b41211d43862</t>
        </is>
      </c>
      <c r="K169">
        <f>HYPERLINK("http://gitlab.osmosys.co/incident-reporter/incident-reporter-app/-/merge_requests/1796#note_239148", "fixed it")</f>
        <v/>
      </c>
      <c r="L169" t="inlineStr">
        <is>
          <t>2025-07-21 11:46:18.203 IST</t>
        </is>
      </c>
      <c r="M169" t="inlineStr">
        <is>
          <t>Nakshatra Bhatia</t>
        </is>
      </c>
      <c r="N169" t="inlineStr">
        <is>
          <t>No</t>
        </is>
      </c>
      <c r="O169" t="inlineStr">
        <is>
          <t>Yes</t>
        </is>
      </c>
      <c r="P169" t="inlineStr">
        <is>
          <t>Soundariya B</t>
        </is>
      </c>
      <c r="Q169" t="inlineStr">
        <is>
          <t>Bad</t>
        </is>
      </c>
    </row>
    <row r="170">
      <c r="A170" t="inlineStr">
        <is>
          <t>nakshatra.b</t>
        </is>
      </c>
      <c r="B170" t="inlineStr">
        <is>
          <t>Nakshatra Bhatia</t>
        </is>
      </c>
      <c r="C170" t="inlineStr">
        <is>
          <t>nakshatra.b@osmosys.co</t>
        </is>
      </c>
      <c r="D170" t="inlineStr">
        <is>
          <t>incident-reporter</t>
        </is>
      </c>
      <c r="E170">
        <f>HYPERLINK("http://gitlab.osmosys.co/incident-reporter/incident-reporter-app", "OQSHA Mobile App")</f>
        <v/>
      </c>
      <c r="F170">
        <f>HYPERLINK("http://gitlab.osmosys.co/incident-reporter/incident-reporter-app/-/merge_requests/1796", "feat: add duedate and assign status in app")</f>
        <v/>
      </c>
      <c r="G170" t="inlineStr">
        <is>
          <t>feat/duedate-validate-status-app</t>
        </is>
      </c>
      <c r="H170" t="inlineStr">
        <is>
          <t>sprint-17</t>
        </is>
      </c>
      <c r="I170" t="inlineStr">
        <is>
          <t>closed</t>
        </is>
      </c>
      <c r="J170" t="inlineStr">
        <is>
          <t>f72dfeeb05669160c694cfeddffa9af76571faba</t>
        </is>
      </c>
      <c r="K170">
        <f>HYPERLINK("http://gitlab.osmosys.co/incident-reporter/incident-reporter-app/-/merge_requests/1796#note_239043", "Same here")</f>
        <v/>
      </c>
      <c r="L170" t="inlineStr">
        <is>
          <t>2025-07-18 23:21:33.633 IST</t>
        </is>
      </c>
      <c r="M170" t="inlineStr">
        <is>
          <t>Soundariya B</t>
        </is>
      </c>
      <c r="N170" t="inlineStr">
        <is>
          <t>Yes</t>
        </is>
      </c>
      <c r="O170" t="inlineStr">
        <is>
          <t>Yes</t>
        </is>
      </c>
      <c r="P170" t="inlineStr">
        <is>
          <t>Soundariya B</t>
        </is>
      </c>
      <c r="Q170" t="inlineStr">
        <is>
          <t>Bad</t>
        </is>
      </c>
    </row>
    <row r="171">
      <c r="A171" t="inlineStr">
        <is>
          <t>nakshatra.b</t>
        </is>
      </c>
      <c r="B171" t="inlineStr">
        <is>
          <t>Nakshatra Bhatia</t>
        </is>
      </c>
      <c r="C171" t="inlineStr">
        <is>
          <t>nakshatra.b@osmosys.co</t>
        </is>
      </c>
      <c r="D171" t="inlineStr">
        <is>
          <t>incident-reporter</t>
        </is>
      </c>
      <c r="E171">
        <f>HYPERLINK("http://gitlab.osmosys.co/incident-reporter/incident-reporter-app", "OQSHA Mobile App")</f>
        <v/>
      </c>
      <c r="F171">
        <f>HYPERLINK("http://gitlab.osmosys.co/incident-reporter/incident-reporter-app/-/merge_requests/1796", "feat: add duedate and assign status in app")</f>
        <v/>
      </c>
      <c r="G171" t="inlineStr">
        <is>
          <t>feat/duedate-validate-status-app</t>
        </is>
      </c>
      <c r="H171" t="inlineStr">
        <is>
          <t>sprint-17</t>
        </is>
      </c>
      <c r="I171" t="inlineStr">
        <is>
          <t>closed</t>
        </is>
      </c>
      <c r="J171" t="inlineStr">
        <is>
          <t>f72dfeeb05669160c694cfeddffa9af76571faba</t>
        </is>
      </c>
      <c r="K171">
        <f>HYPERLINK("http://gitlab.osmosys.co/incident-reporter/incident-reporter-app/-/merge_requests/1796#note_239151", "fixed it")</f>
        <v/>
      </c>
      <c r="L171" t="inlineStr">
        <is>
          <t>2025-07-21 11:49:31.583 IST</t>
        </is>
      </c>
      <c r="M171" t="inlineStr">
        <is>
          <t>Nakshatra Bhatia</t>
        </is>
      </c>
      <c r="N171" t="inlineStr">
        <is>
          <t>No</t>
        </is>
      </c>
      <c r="O171" t="inlineStr">
        <is>
          <t>Yes</t>
        </is>
      </c>
      <c r="P171" t="inlineStr">
        <is>
          <t>Soundariya B</t>
        </is>
      </c>
      <c r="Q171" t="inlineStr">
        <is>
          <t>Bad</t>
        </is>
      </c>
    </row>
    <row r="172">
      <c r="A172" t="inlineStr">
        <is>
          <t>nakshatra.b</t>
        </is>
      </c>
      <c r="B172" t="inlineStr">
        <is>
          <t>Nakshatra Bhatia</t>
        </is>
      </c>
      <c r="C172" t="inlineStr">
        <is>
          <t>nakshatra.b@osmosys.co</t>
        </is>
      </c>
      <c r="D172" t="inlineStr">
        <is>
          <t>incident-reporter</t>
        </is>
      </c>
      <c r="E172">
        <f>HYPERLINK("http://gitlab.osmosys.co/incident-reporter/incident-reporter-app", "OQSHA Mobile App")</f>
        <v/>
      </c>
      <c r="F172">
        <f>HYPERLINK("http://gitlab.osmosys.co/incident-reporter/incident-reporter-app/-/merge_requests/1796", "feat: add duedate and assign status in app")</f>
        <v/>
      </c>
      <c r="G172" t="inlineStr">
        <is>
          <t>feat/duedate-validate-status-app</t>
        </is>
      </c>
      <c r="H172" t="inlineStr">
        <is>
          <t>sprint-17</t>
        </is>
      </c>
      <c r="I172" t="inlineStr">
        <is>
          <t>closed</t>
        </is>
      </c>
      <c r="J172" t="inlineStr">
        <is>
          <t>6a2d381ff436d9f62780101cafb26207b39064a6</t>
        </is>
      </c>
      <c r="K172">
        <f>HYPERLINK("http://gitlab.osmosys.co/incident-reporter/incident-reporter-app/-/merge_requests/1796#note_239044", "These lines of code also using more than one time can you please take from the incident service file and use it as common")</f>
        <v/>
      </c>
      <c r="L172" t="inlineStr">
        <is>
          <t>2025-07-18 23:21:33.687 IST</t>
        </is>
      </c>
      <c r="M172" t="inlineStr">
        <is>
          <t>Soundariya B</t>
        </is>
      </c>
      <c r="N172" t="inlineStr">
        <is>
          <t>Yes</t>
        </is>
      </c>
      <c r="O172" t="inlineStr">
        <is>
          <t>Yes</t>
        </is>
      </c>
      <c r="P172" t="inlineStr">
        <is>
          <t>Soundariya B</t>
        </is>
      </c>
      <c r="Q172" t="inlineStr">
        <is>
          <t>Bad</t>
        </is>
      </c>
    </row>
    <row r="173">
      <c r="A173" t="inlineStr">
        <is>
          <t>nakshatra.b</t>
        </is>
      </c>
      <c r="B173" t="inlineStr">
        <is>
          <t>Nakshatra Bhatia</t>
        </is>
      </c>
      <c r="C173" t="inlineStr">
        <is>
          <t>nakshatra.b@osmosys.co</t>
        </is>
      </c>
      <c r="D173" t="inlineStr">
        <is>
          <t>incident-reporter</t>
        </is>
      </c>
      <c r="E173">
        <f>HYPERLINK("http://gitlab.osmosys.co/incident-reporter/incident-reporter-app", "OQSHA Mobile App")</f>
        <v/>
      </c>
      <c r="F173">
        <f>HYPERLINK("http://gitlab.osmosys.co/incident-reporter/incident-reporter-app/-/merge_requests/1796", "feat: add duedate and assign status in app")</f>
        <v/>
      </c>
      <c r="G173" t="inlineStr">
        <is>
          <t>feat/duedate-validate-status-app</t>
        </is>
      </c>
      <c r="H173" t="inlineStr">
        <is>
          <t>sprint-17</t>
        </is>
      </c>
      <c r="I173" t="inlineStr">
        <is>
          <t>closed</t>
        </is>
      </c>
      <c r="J173" t="inlineStr">
        <is>
          <t>6a2d381ff436d9f62780101cafb26207b39064a6</t>
        </is>
      </c>
      <c r="K173">
        <f>HYPERLINK("http://gitlab.osmosys.co/incident-reporter/incident-reporter-app/-/merge_requests/1796#note_239168", "fixed in both files with service call")</f>
        <v/>
      </c>
      <c r="L173" t="inlineStr">
        <is>
          <t>2025-07-21 11:59:25.260 IST</t>
        </is>
      </c>
      <c r="M173" t="inlineStr">
        <is>
          <t>Nakshatra Bhatia</t>
        </is>
      </c>
      <c r="N173" t="inlineStr">
        <is>
          <t>No</t>
        </is>
      </c>
      <c r="O173" t="inlineStr">
        <is>
          <t>Yes</t>
        </is>
      </c>
      <c r="P173" t="inlineStr">
        <is>
          <t>Soundariya B</t>
        </is>
      </c>
      <c r="Q173" t="inlineStr">
        <is>
          <t>Bad</t>
        </is>
      </c>
    </row>
    <row r="174">
      <c r="A174" t="inlineStr">
        <is>
          <t>nakshatra.b</t>
        </is>
      </c>
      <c r="B174" t="inlineStr">
        <is>
          <t>Nakshatra Bhatia</t>
        </is>
      </c>
      <c r="C174" t="inlineStr">
        <is>
          <t>nakshatra.b@osmosys.co</t>
        </is>
      </c>
      <c r="D174" t="inlineStr">
        <is>
          <t>incident-reporter</t>
        </is>
      </c>
      <c r="E174">
        <f>HYPERLINK("http://gitlab.osmosys.co/incident-reporter/incident-reporter-app", "OQSHA Mobile App")</f>
        <v/>
      </c>
      <c r="F174">
        <f>HYPERLINK("http://gitlab.osmosys.co/incident-reporter/incident-reporter-app/-/merge_requests/1796", "feat: add duedate and assign status in app")</f>
        <v/>
      </c>
      <c r="G174" t="inlineStr">
        <is>
          <t>feat/duedate-validate-status-app</t>
        </is>
      </c>
      <c r="H174" t="inlineStr">
        <is>
          <t>sprint-17</t>
        </is>
      </c>
      <c r="I174" t="inlineStr">
        <is>
          <t>closed</t>
        </is>
      </c>
      <c r="J174" t="inlineStr">
        <is>
          <t>ec3014d1587f39eeaf4aba43e576dff227de1645</t>
        </is>
      </c>
      <c r="K174">
        <f>HYPERLINK("http://gitlab.osmosys.co/incident-reporter/incident-reporter-app/-/merge_requests/1796#note_239045", "Please remove comment")</f>
        <v/>
      </c>
      <c r="L174" t="inlineStr">
        <is>
          <t>2025-07-18 23:21:33.741 IST</t>
        </is>
      </c>
      <c r="M174" t="inlineStr">
        <is>
          <t>Soundariya B</t>
        </is>
      </c>
      <c r="N174" t="inlineStr">
        <is>
          <t>Yes</t>
        </is>
      </c>
      <c r="O174" t="inlineStr">
        <is>
          <t>Yes</t>
        </is>
      </c>
      <c r="P174" t="inlineStr">
        <is>
          <t>Soundariya B</t>
        </is>
      </c>
      <c r="Q174" t="inlineStr">
        <is>
          <t>Bad</t>
        </is>
      </c>
    </row>
    <row r="175">
      <c r="A175" t="inlineStr">
        <is>
          <t>nakshatra.b</t>
        </is>
      </c>
      <c r="B175" t="inlineStr">
        <is>
          <t>Nakshatra Bhatia</t>
        </is>
      </c>
      <c r="C175" t="inlineStr">
        <is>
          <t>nakshatra.b@osmosys.co</t>
        </is>
      </c>
      <c r="D175" t="inlineStr">
        <is>
          <t>incident-reporter</t>
        </is>
      </c>
      <c r="E175">
        <f>HYPERLINK("http://gitlab.osmosys.co/incident-reporter/incident-reporter-app", "OQSHA Mobile App")</f>
        <v/>
      </c>
      <c r="F175">
        <f>HYPERLINK("http://gitlab.osmosys.co/incident-reporter/incident-reporter-app/-/merge_requests/1796", "feat: add duedate and assign status in app")</f>
        <v/>
      </c>
      <c r="G175" t="inlineStr">
        <is>
          <t>feat/duedate-validate-status-app</t>
        </is>
      </c>
      <c r="H175" t="inlineStr">
        <is>
          <t>sprint-17</t>
        </is>
      </c>
      <c r="I175" t="inlineStr">
        <is>
          <t>closed</t>
        </is>
      </c>
      <c r="J175" t="inlineStr">
        <is>
          <t>ec3014d1587f39eeaf4aba43e576dff227de1645</t>
        </is>
      </c>
      <c r="K175">
        <f>HYPERLINK("http://gitlab.osmosys.co/incident-reporter/incident-reporter-app/-/merge_requests/1796#note_239058", "fixed it")</f>
        <v/>
      </c>
      <c r="L175" t="inlineStr">
        <is>
          <t>2025-07-19 00:29:58.671 IST</t>
        </is>
      </c>
      <c r="M175" t="inlineStr">
        <is>
          <t>Nakshatra Bhatia</t>
        </is>
      </c>
      <c r="N175" t="inlineStr">
        <is>
          <t>No</t>
        </is>
      </c>
      <c r="O175" t="inlineStr">
        <is>
          <t>Yes</t>
        </is>
      </c>
      <c r="P175" t="inlineStr">
        <is>
          <t>Soundariya B</t>
        </is>
      </c>
      <c r="Q175" t="inlineStr">
        <is>
          <t>Bad</t>
        </is>
      </c>
    </row>
    <row r="176">
      <c r="A176" t="inlineStr">
        <is>
          <t>nakshatra.b</t>
        </is>
      </c>
      <c r="B176" t="inlineStr">
        <is>
          <t>Nakshatra Bhatia</t>
        </is>
      </c>
      <c r="C176" t="inlineStr">
        <is>
          <t>nakshatra.b@osmosys.co</t>
        </is>
      </c>
      <c r="D176" t="inlineStr">
        <is>
          <t>incident-reporter</t>
        </is>
      </c>
      <c r="E176">
        <f>HYPERLINK("http://gitlab.osmosys.co/incident-reporter/incident-reporter-app", "OQSHA Mobile App")</f>
        <v/>
      </c>
      <c r="F176">
        <f>HYPERLINK("http://gitlab.osmosys.co/incident-reporter/incident-reporter-app/-/merge_requests/1796", "feat: add duedate and assign status in app")</f>
        <v/>
      </c>
      <c r="G176" t="inlineStr">
        <is>
          <t>feat/duedate-validate-status-app</t>
        </is>
      </c>
      <c r="H176" t="inlineStr">
        <is>
          <t>sprint-17</t>
        </is>
      </c>
      <c r="I176" t="inlineStr">
        <is>
          <t>closed</t>
        </is>
      </c>
      <c r="J176" t="inlineStr">
        <is>
          <t>e9685243a61a8dc435101192ea75f882b6de1b42</t>
        </is>
      </c>
      <c r="K176">
        <f>HYPERLINK("http://gitlab.osmosys.co/incident-reporter/incident-reporter-app/-/merge_requests/1796#note_239046", "Same here please follow the above two threads for these lines of code")</f>
        <v/>
      </c>
      <c r="L176" t="inlineStr">
        <is>
          <t>2025-07-18 23:21:33.796 IST</t>
        </is>
      </c>
      <c r="M176" t="inlineStr">
        <is>
          <t>Soundariya B</t>
        </is>
      </c>
      <c r="N176" t="inlineStr">
        <is>
          <t>Yes</t>
        </is>
      </c>
      <c r="O176" t="inlineStr">
        <is>
          <t>Yes</t>
        </is>
      </c>
      <c r="P176" t="inlineStr">
        <is>
          <t>Soundariya B</t>
        </is>
      </c>
      <c r="Q176" t="inlineStr">
        <is>
          <t>Bad</t>
        </is>
      </c>
    </row>
    <row r="177">
      <c r="A177" t="inlineStr">
        <is>
          <t>nakshatra.b</t>
        </is>
      </c>
      <c r="B177" t="inlineStr">
        <is>
          <t>Nakshatra Bhatia</t>
        </is>
      </c>
      <c r="C177" t="inlineStr">
        <is>
          <t>nakshatra.b@osmosys.co</t>
        </is>
      </c>
      <c r="D177" t="inlineStr">
        <is>
          <t>incident-reporter</t>
        </is>
      </c>
      <c r="E177">
        <f>HYPERLINK("http://gitlab.osmosys.co/incident-reporter/incident-reporter-app", "OQSHA Mobile App")</f>
        <v/>
      </c>
      <c r="F177">
        <f>HYPERLINK("http://gitlab.osmosys.co/incident-reporter/incident-reporter-app/-/merge_requests/1796", "feat: add duedate and assign status in app")</f>
        <v/>
      </c>
      <c r="G177" t="inlineStr">
        <is>
          <t>feat/duedate-validate-status-app</t>
        </is>
      </c>
      <c r="H177" t="inlineStr">
        <is>
          <t>sprint-17</t>
        </is>
      </c>
      <c r="I177" t="inlineStr">
        <is>
          <t>closed</t>
        </is>
      </c>
      <c r="J177" t="inlineStr">
        <is>
          <t>e9685243a61a8dc435101192ea75f882b6de1b42</t>
        </is>
      </c>
      <c r="K177">
        <f>HYPERLINK("http://gitlab.osmosys.co/incident-reporter/incident-reporter-app/-/merge_requests/1796#note_239211", "removed the logger line and added the toaster too")</f>
        <v/>
      </c>
      <c r="L177" t="inlineStr">
        <is>
          <t>2025-07-21 12:44:51.614 IST</t>
        </is>
      </c>
      <c r="M177" t="inlineStr">
        <is>
          <t>Nakshatra Bhatia</t>
        </is>
      </c>
      <c r="N177" t="inlineStr">
        <is>
          <t>No</t>
        </is>
      </c>
      <c r="O177" t="inlineStr">
        <is>
          <t>Yes</t>
        </is>
      </c>
      <c r="P177" t="inlineStr">
        <is>
          <t>Soundariya B</t>
        </is>
      </c>
      <c r="Q177" t="inlineStr">
        <is>
          <t>Bad</t>
        </is>
      </c>
    </row>
    <row r="178">
      <c r="A178" t="inlineStr">
        <is>
          <t>shreya.v</t>
        </is>
      </c>
      <c r="B178" t="inlineStr">
        <is>
          <t>Shreya Ved</t>
        </is>
      </c>
      <c r="C178" t="inlineStr">
        <is>
          <t>shreya.v@osmosys.co</t>
        </is>
      </c>
      <c r="D178" t="inlineStr">
        <is>
          <t>incident-reporter</t>
        </is>
      </c>
      <c r="E178">
        <f>HYPERLINK("http://gitlab.osmosys.co/incident-reporter/incident-reporter-angular-portal", "OQSHA Portal")</f>
        <v/>
      </c>
      <c r="F178">
        <f>HYPERLINK("http://gitlab.osmosys.co/incident-reporter/incident-reporter-angular-portal/-/merge_requests/3658", "fix: remove extra ngif from user consent field")</f>
        <v/>
      </c>
      <c r="G178" t="inlineStr">
        <is>
          <t>fix/user-consent</t>
        </is>
      </c>
      <c r="H178" t="inlineStr">
        <is>
          <t>sprint-18</t>
        </is>
      </c>
      <c r="I178" t="inlineStr">
        <is>
          <t>merged</t>
        </is>
      </c>
      <c r="J178" t="inlineStr">
        <is>
          <t>83305c7c73b38aa3d5ee2c03111684461d027850</t>
        </is>
      </c>
      <c r="K178">
        <f>HYPERLINK("http://gitlab.osmosys.co/incident-reporter/incident-reporter-angular-portal/-/merge_requests/3658#note_244083", "&gt; It uses flag which is enabled on My home pvt ltd not on Aparna constructions
Please attach the SS with Aparna constructions as well")</f>
        <v/>
      </c>
      <c r="L178" t="inlineStr">
        <is>
          <t>2025-07-30 11:14:09.681 IST</t>
        </is>
      </c>
      <c r="M178" t="inlineStr">
        <is>
          <t>Soundariya B</t>
        </is>
      </c>
      <c r="N178" t="inlineStr">
        <is>
          <t>Yes</t>
        </is>
      </c>
      <c r="O178" t="inlineStr">
        <is>
          <t>Yes</t>
        </is>
      </c>
      <c r="P178" t="inlineStr">
        <is>
          <t>Soundariya B</t>
        </is>
      </c>
      <c r="Q178" t="inlineStr">
        <is>
          <t>Bad</t>
        </is>
      </c>
    </row>
    <row r="179">
      <c r="A179" t="inlineStr">
        <is>
          <t>shreya.v</t>
        </is>
      </c>
      <c r="B179" t="inlineStr">
        <is>
          <t>Shreya Ved</t>
        </is>
      </c>
      <c r="C179" t="inlineStr">
        <is>
          <t>shreya.v@osmosys.co</t>
        </is>
      </c>
      <c r="D179" t="inlineStr">
        <is>
          <t>incident-reporter</t>
        </is>
      </c>
      <c r="E179">
        <f>HYPERLINK("http://gitlab.osmosys.co/incident-reporter/incident-reporter-angular-portal", "OQSHA Portal")</f>
        <v/>
      </c>
      <c r="F179">
        <f>HYPERLINK("http://gitlab.osmosys.co/incident-reporter/incident-reporter-angular-portal/-/merge_requests/3658", "fix: remove extra ngif from user consent field")</f>
        <v/>
      </c>
      <c r="G179" t="inlineStr">
        <is>
          <t>fix/user-consent</t>
        </is>
      </c>
      <c r="H179" t="inlineStr">
        <is>
          <t>sprint-18</t>
        </is>
      </c>
      <c r="I179" t="inlineStr">
        <is>
          <t>merged</t>
        </is>
      </c>
      <c r="J179" t="inlineStr">
        <is>
          <t>83305c7c73b38aa3d5ee2c03111684461d027850</t>
        </is>
      </c>
      <c r="K179">
        <f>HYPERLINK("http://gitlab.osmosys.co/incident-reporter/incident-reporter-angular-portal/-/merge_requests/3658#note_244186", "ok.")</f>
        <v/>
      </c>
      <c r="L179" t="inlineStr">
        <is>
          <t>2025-07-30 13:39:58.269 IST</t>
        </is>
      </c>
      <c r="M179" t="inlineStr">
        <is>
          <t>Shreya Ved</t>
        </is>
      </c>
      <c r="N179" t="inlineStr">
        <is>
          <t>No</t>
        </is>
      </c>
      <c r="O179" t="inlineStr">
        <is>
          <t>Yes</t>
        </is>
      </c>
      <c r="P179" t="inlineStr">
        <is>
          <t>Soundariya B</t>
        </is>
      </c>
      <c r="Q179" t="inlineStr">
        <is>
          <t>Bad</t>
        </is>
      </c>
    </row>
    <row r="180">
      <c r="A180" t="inlineStr">
        <is>
          <t>shreya.v</t>
        </is>
      </c>
      <c r="B180" t="inlineStr">
        <is>
          <t>Shreya Ved</t>
        </is>
      </c>
      <c r="C180" t="inlineStr">
        <is>
          <t>shreya.v@osmosys.co</t>
        </is>
      </c>
      <c r="D180" t="inlineStr">
        <is>
          <t>incident-reporter</t>
        </is>
      </c>
      <c r="E180">
        <f>HYPERLINK("http://gitlab.osmosys.co/incident-reporter/incident-reporter-angular-portal", "OQSHA Portal")</f>
        <v/>
      </c>
      <c r="F180">
        <f>HYPERLINK("http://gitlab.osmosys.co/incident-reporter/incident-reporter-angular-portal/-/merge_requests/3658", "fix: remove extra ngif from user consent field")</f>
        <v/>
      </c>
      <c r="G180" t="inlineStr">
        <is>
          <t>fix/user-consent</t>
        </is>
      </c>
      <c r="H180" t="inlineStr">
        <is>
          <t>sprint-18</t>
        </is>
      </c>
      <c r="I180" t="inlineStr">
        <is>
          <t>merged</t>
        </is>
      </c>
      <c r="J180" t="inlineStr">
        <is>
          <t>9bb9b25dcdeac4c774021f0f44ee9bdfab6a3a95</t>
        </is>
      </c>
      <c r="K180">
        <f>HYPERLINK("http://gitlab.osmosys.co/incident-reporter/incident-reporter-angular-portal/-/merge_requests/3658#note_244084", "Revert this change - DON'T push such changes which cause silly issues unnecessary")</f>
        <v/>
      </c>
      <c r="L180" t="inlineStr">
        <is>
          <t>2025-07-30 11:14:09.766 IST</t>
        </is>
      </c>
      <c r="M180" t="inlineStr">
        <is>
          <t>Soundariya B</t>
        </is>
      </c>
      <c r="N180" t="inlineStr">
        <is>
          <t>Yes</t>
        </is>
      </c>
      <c r="O180" t="inlineStr">
        <is>
          <t>Yes</t>
        </is>
      </c>
      <c r="P180" t="inlineStr">
        <is>
          <t>Soundariya B</t>
        </is>
      </c>
      <c r="Q180" t="inlineStr">
        <is>
          <t>Bad</t>
        </is>
      </c>
    </row>
    <row r="181">
      <c r="A181" t="inlineStr">
        <is>
          <t>shreya.v</t>
        </is>
      </c>
      <c r="B181" t="inlineStr">
        <is>
          <t>Shreya Ved</t>
        </is>
      </c>
      <c r="C181" t="inlineStr">
        <is>
          <t>shreya.v@osmosys.co</t>
        </is>
      </c>
      <c r="D181" t="inlineStr">
        <is>
          <t>incident-reporter</t>
        </is>
      </c>
      <c r="E181">
        <f>HYPERLINK("http://gitlab.osmosys.co/incident-reporter/incident-reporter-angular-portal", "OQSHA Portal")</f>
        <v/>
      </c>
      <c r="F181">
        <f>HYPERLINK("http://gitlab.osmosys.co/incident-reporter/incident-reporter-angular-portal/-/merge_requests/3658", "fix: remove extra ngif from user consent field")</f>
        <v/>
      </c>
      <c r="G181" t="inlineStr">
        <is>
          <t>fix/user-consent</t>
        </is>
      </c>
      <c r="H181" t="inlineStr">
        <is>
          <t>sprint-18</t>
        </is>
      </c>
      <c r="I181" t="inlineStr">
        <is>
          <t>merged</t>
        </is>
      </c>
      <c r="J181" t="inlineStr">
        <is>
          <t>9bb9b25dcdeac4c774021f0f44ee9bdfab6a3a95</t>
        </is>
      </c>
      <c r="K181">
        <f>HYPERLINK("http://gitlab.osmosys.co/incident-reporter/incident-reporter-angular-portal/-/merge_requests/3658#note_244187", "done")</f>
        <v/>
      </c>
      <c r="L181" t="inlineStr">
        <is>
          <t>2025-07-30 13:40:05.372 IST</t>
        </is>
      </c>
      <c r="M181" t="inlineStr">
        <is>
          <t>Shreya Ved</t>
        </is>
      </c>
      <c r="N181" t="inlineStr">
        <is>
          <t>No</t>
        </is>
      </c>
      <c r="O181" t="inlineStr">
        <is>
          <t>Yes</t>
        </is>
      </c>
      <c r="P181" t="inlineStr">
        <is>
          <t>Soundariya B</t>
        </is>
      </c>
      <c r="Q181" t="inlineStr">
        <is>
          <t>Bad</t>
        </is>
      </c>
    </row>
    <row r="182">
      <c r="A182" t="inlineStr">
        <is>
          <t>shreya.v</t>
        </is>
      </c>
      <c r="B182" t="inlineStr">
        <is>
          <t>Shreya Ved</t>
        </is>
      </c>
      <c r="C182" t="inlineStr">
        <is>
          <t>shreya.v@osmosys.co</t>
        </is>
      </c>
      <c r="D182" t="inlineStr">
        <is>
          <t>incident-reporter</t>
        </is>
      </c>
      <c r="E182">
        <f>HYPERLINK("http://gitlab.osmosys.co/incident-reporter/incident-reporter-angular-portal", "OQSHA Portal")</f>
        <v/>
      </c>
      <c r="F182">
        <f>HYPERLINK("http://gitlab.osmosys.co/incident-reporter/incident-reporter-angular-portal/-/merge_requests/3651", "fix: add task status notes")</f>
        <v/>
      </c>
      <c r="G182" t="inlineStr">
        <is>
          <t>fix/task-status</t>
        </is>
      </c>
      <c r="H182" t="inlineStr">
        <is>
          <t>sprint-18</t>
        </is>
      </c>
      <c r="I182" t="inlineStr">
        <is>
          <t>merged</t>
        </is>
      </c>
      <c r="J182" t="inlineStr"/>
      <c r="K182" t="inlineStr"/>
      <c r="L182" t="inlineStr"/>
      <c r="M182" t="inlineStr"/>
      <c r="N182" t="inlineStr"/>
      <c r="O182" t="inlineStr"/>
      <c r="P182" t="inlineStr"/>
      <c r="Q182" t="inlineStr"/>
    </row>
    <row r="183">
      <c r="A183" t="inlineStr">
        <is>
          <t>shreya.v</t>
        </is>
      </c>
      <c r="B183" t="inlineStr">
        <is>
          <t>Shreya Ved</t>
        </is>
      </c>
      <c r="C183" t="inlineStr">
        <is>
          <t>shreya.v@osmosys.co</t>
        </is>
      </c>
      <c r="D183" t="inlineStr">
        <is>
          <t>incident-reporter</t>
        </is>
      </c>
      <c r="E183">
        <f>HYPERLINK("http://gitlab.osmosys.co/incident-reporter/incident-reporter-angular-portal", "OQSHA Portal")</f>
        <v/>
      </c>
      <c r="F183">
        <f>HYPERLINK("http://gitlab.osmosys.co/incident-reporter/incident-reporter-angular-portal/-/merge_requests/3642", "fix: align to date to left")</f>
        <v/>
      </c>
      <c r="G183" t="inlineStr">
        <is>
          <t>fix/hira-scrollbar</t>
        </is>
      </c>
      <c r="H183" t="inlineStr">
        <is>
          <t>sprint-19</t>
        </is>
      </c>
      <c r="I183" t="inlineStr">
        <is>
          <t>opened</t>
        </is>
      </c>
      <c r="J183" t="inlineStr">
        <is>
          <t>e500d49f2e7908875efad26529912e289e417bec</t>
        </is>
      </c>
      <c r="K183">
        <f>HYPERLINK("http://gitlab.osmosys.co/incident-reporter/incident-reporter-angular-portal/-/merge_requests/3642#note_246204", "Eg - ![image](/uploads/f05b040463dce8cc88bc865c26982b6a/image.png)
Most of the modules having this issue please check the ref image and video attached here. Please fix it the calendar behavior and alignment.
![screen-capture__16_](/uploads/e966d17528d0bbd09953ee9e64d488a3/screen-capture__16_.webm)")</f>
        <v/>
      </c>
      <c r="L183" t="inlineStr">
        <is>
          <t>2025-08-02 13:28:42.983 IST</t>
        </is>
      </c>
      <c r="M183" t="inlineStr">
        <is>
          <t>Soundariya B</t>
        </is>
      </c>
      <c r="N183" t="inlineStr">
        <is>
          <t>Yes</t>
        </is>
      </c>
      <c r="O183" t="inlineStr">
        <is>
          <t>No</t>
        </is>
      </c>
      <c r="P183" t="inlineStr"/>
      <c r="Q183" t="inlineStr">
        <is>
          <t>Neutral</t>
        </is>
      </c>
    </row>
    <row r="184">
      <c r="A184" t="inlineStr">
        <is>
          <t>shreya.v</t>
        </is>
      </c>
      <c r="B184" t="inlineStr">
        <is>
          <t>Shreya Ved</t>
        </is>
      </c>
      <c r="C184" t="inlineStr">
        <is>
          <t>shreya.v@osmosys.co</t>
        </is>
      </c>
      <c r="D184" t="inlineStr">
        <is>
          <t>incident-reporter</t>
        </is>
      </c>
      <c r="E184">
        <f>HYPERLINK("http://gitlab.osmosys.co/incident-reporter/incident-reporter-angular-portal", "OQSHA Portal")</f>
        <v/>
      </c>
      <c r="F184">
        <f>HYPERLINK("http://gitlab.osmosys.co/incident-reporter/incident-reporter-angular-portal/-/merge_requests/3642", "fix: align to date to left")</f>
        <v/>
      </c>
      <c r="G184" t="inlineStr">
        <is>
          <t>fix/hira-scrollbar</t>
        </is>
      </c>
      <c r="H184" t="inlineStr">
        <is>
          <t>sprint-19</t>
        </is>
      </c>
      <c r="I184" t="inlineStr">
        <is>
          <t>opened</t>
        </is>
      </c>
      <c r="J184" t="inlineStr">
        <is>
          <t>e500d49f2e7908875efad26529912e289e417bec</t>
        </is>
      </c>
      <c r="K184">
        <f>HYPERLINK("http://gitlab.osmosys.co/incident-reporter/incident-reporter-angular-portal/-/merge_requests/3642#note_246585", "Calendar behavior does not come in scope of my task and also this issue has been fixed by Rupam but his PR is not merged yet.
I am unable to reproduce the issue you mentioned for inspection. 
![image](/uploads/7a9500ac723c97bc05d8b4981892feaa/image.png){width=1139 height=614}")</f>
        <v/>
      </c>
      <c r="L184" t="inlineStr">
        <is>
          <t>2025-08-02 21:42:03.786 IST</t>
        </is>
      </c>
      <c r="M184" t="inlineStr">
        <is>
          <t>Shreya Ved</t>
        </is>
      </c>
      <c r="N184" t="inlineStr">
        <is>
          <t>No</t>
        </is>
      </c>
      <c r="O184" t="inlineStr">
        <is>
          <t>No</t>
        </is>
      </c>
      <c r="P184" t="inlineStr"/>
      <c r="Q184" t="inlineStr">
        <is>
          <t>Neutral</t>
        </is>
      </c>
    </row>
    <row r="185">
      <c r="A185" t="inlineStr">
        <is>
          <t>shreya.v</t>
        </is>
      </c>
      <c r="B185" t="inlineStr">
        <is>
          <t>Shreya Ved</t>
        </is>
      </c>
      <c r="C185" t="inlineStr">
        <is>
          <t>shreya.v@osmosys.co</t>
        </is>
      </c>
      <c r="D185" t="inlineStr">
        <is>
          <t>incident-reporter</t>
        </is>
      </c>
      <c r="E185">
        <f>HYPERLINK("http://gitlab.osmosys.co/incident-reporter/incident-reporter-angular-portal", "OQSHA Portal")</f>
        <v/>
      </c>
      <c r="F185">
        <f>HYPERLINK("http://gitlab.osmosys.co/incident-reporter/incident-reporter-angular-portal/-/merge_requests/3640", "fix: remove unnecessary text from pssr comment")</f>
        <v/>
      </c>
      <c r="G185" t="inlineStr">
        <is>
          <t>fix/pssr-comment-txt</t>
        </is>
      </c>
      <c r="H185" t="inlineStr">
        <is>
          <t>sprint-19</t>
        </is>
      </c>
      <c r="I185" t="inlineStr">
        <is>
          <t>merged</t>
        </is>
      </c>
      <c r="J185" t="inlineStr"/>
      <c r="K185" t="inlineStr"/>
      <c r="L185" t="inlineStr"/>
      <c r="M185" t="inlineStr"/>
      <c r="N185" t="inlineStr"/>
      <c r="O185" t="inlineStr"/>
      <c r="P185" t="inlineStr"/>
      <c r="Q185" t="inlineStr"/>
    </row>
    <row r="186">
      <c r="A186" t="inlineStr">
        <is>
          <t>shreya.v</t>
        </is>
      </c>
      <c r="B186" t="inlineStr">
        <is>
          <t>Shreya Ved</t>
        </is>
      </c>
      <c r="C186" t="inlineStr">
        <is>
          <t>shreya.v@osmosys.co</t>
        </is>
      </c>
      <c r="D186" t="inlineStr">
        <is>
          <t>incident-reporter</t>
        </is>
      </c>
      <c r="E186">
        <f>HYPERLINK("http://gitlab.osmosys.co/incident-reporter/incident-reporter-angular-portal", "OQSHA Portal")</f>
        <v/>
      </c>
      <c r="F186">
        <f>HYPERLINK("http://gitlab.osmosys.co/incident-reporter/incident-reporter-angular-portal/-/merge_requests/3633", "fix: populate edit moc department")</f>
        <v/>
      </c>
      <c r="G186" t="inlineStr">
        <is>
          <t>fix/moc-dept-fix</t>
        </is>
      </c>
      <c r="H186" t="inlineStr">
        <is>
          <t>sprint-18</t>
        </is>
      </c>
      <c r="I186" t="inlineStr">
        <is>
          <t>merged</t>
        </is>
      </c>
      <c r="J186" t="inlineStr"/>
      <c r="K186" t="inlineStr"/>
      <c r="L186" t="inlineStr"/>
      <c r="M186" t="inlineStr"/>
      <c r="N186" t="inlineStr"/>
      <c r="O186" t="inlineStr"/>
      <c r="P186" t="inlineStr"/>
      <c r="Q186" t="inlineStr"/>
    </row>
    <row r="187">
      <c r="A187" t="inlineStr">
        <is>
          <t>shreya.v</t>
        </is>
      </c>
      <c r="B187" t="inlineStr">
        <is>
          <t>Shreya Ved</t>
        </is>
      </c>
      <c r="C187" t="inlineStr">
        <is>
          <t>shreya.v@osmosys.co</t>
        </is>
      </c>
      <c r="D187" t="inlineStr">
        <is>
          <t>incident-reporter</t>
        </is>
      </c>
      <c r="E187">
        <f>HYPERLINK("http://gitlab.osmosys.co/incident-reporter/incident-reporter-angular-portal", "OQSHA Portal")</f>
        <v/>
      </c>
      <c r="F187">
        <f>HYPERLINK("http://gitlab.osmosys.co/incident-reporter/incident-reporter-angular-portal/-/merge_requests/3629", "fix: fix patching of dept in edit moc")</f>
        <v/>
      </c>
      <c r="G187" t="inlineStr">
        <is>
          <t>fix/moc-dept-patch</t>
        </is>
      </c>
      <c r="H187" t="inlineStr">
        <is>
          <t>sprint-18</t>
        </is>
      </c>
      <c r="I187" t="inlineStr">
        <is>
          <t>opened</t>
        </is>
      </c>
      <c r="J187" t="inlineStr"/>
      <c r="K187" t="inlineStr"/>
      <c r="L187" t="inlineStr"/>
      <c r="M187" t="inlineStr"/>
      <c r="N187" t="inlineStr"/>
      <c r="O187" t="inlineStr"/>
      <c r="P187" t="inlineStr"/>
      <c r="Q187" t="inlineStr"/>
    </row>
    <row r="188">
      <c r="A188" t="inlineStr">
        <is>
          <t>shreya.v</t>
        </is>
      </c>
      <c r="B188" t="inlineStr">
        <is>
          <t>Shreya Ved</t>
        </is>
      </c>
      <c r="C188" t="inlineStr">
        <is>
          <t>shreya.v@osmosys.co</t>
        </is>
      </c>
      <c r="D188" t="inlineStr">
        <is>
          <t>incident-reporter</t>
        </is>
      </c>
      <c r="E188">
        <f>HYPERLINK("http://gitlab.osmosys.co/incident-reporter/incident-reporter-angular-portal", "OQSHA Portal")</f>
        <v/>
      </c>
      <c r="F188">
        <f>HYPERLINK("http://gitlab.osmosys.co/incident-reporter/incident-reporter-angular-portal/-/merge_requests/3599", "fix: add condition for rendering users and assets")</f>
        <v/>
      </c>
      <c r="G188" t="inlineStr">
        <is>
          <t>fix/ticket-asset-user-involved</t>
        </is>
      </c>
      <c r="H188" t="inlineStr">
        <is>
          <t>sprint-18</t>
        </is>
      </c>
      <c r="I188" t="inlineStr">
        <is>
          <t>merged</t>
        </is>
      </c>
      <c r="J188" t="inlineStr"/>
      <c r="K188" t="inlineStr"/>
      <c r="L188" t="inlineStr"/>
      <c r="M188" t="inlineStr"/>
      <c r="N188" t="inlineStr"/>
      <c r="O188" t="inlineStr"/>
      <c r="P188" t="inlineStr"/>
      <c r="Q188" t="inlineStr"/>
    </row>
    <row r="189">
      <c r="A189" t="inlineStr">
        <is>
          <t>shreya.v</t>
        </is>
      </c>
      <c r="B189" t="inlineStr">
        <is>
          <t>Shreya Ved</t>
        </is>
      </c>
      <c r="C189" t="inlineStr">
        <is>
          <t>shreya.v@osmosys.co</t>
        </is>
      </c>
      <c r="D189" t="inlineStr">
        <is>
          <t>incident-reporter</t>
        </is>
      </c>
      <c r="E189">
        <f>HYPERLINK("http://gitlab.osmosys.co/incident-reporter/incident-reporter-angular-portal", "OQSHA Portal")</f>
        <v/>
      </c>
      <c r="F189">
        <f>HYPERLINK("http://gitlab.osmosys.co/incident-reporter/incident-reporter-angular-portal/-/merge_requests/3594", "feat: remove from and to date from library list filters")</f>
        <v/>
      </c>
      <c r="G189" t="inlineStr">
        <is>
          <t>feat/remove-library-dates</t>
        </is>
      </c>
      <c r="H189" t="inlineStr">
        <is>
          <t>sprint-18</t>
        </is>
      </c>
      <c r="I189" t="inlineStr">
        <is>
          <t>merged</t>
        </is>
      </c>
      <c r="J189" t="inlineStr"/>
      <c r="K189" t="inlineStr"/>
      <c r="L189" t="inlineStr"/>
      <c r="M189" t="inlineStr"/>
      <c r="N189" t="inlineStr"/>
      <c r="O189" t="inlineStr"/>
      <c r="P189" t="inlineStr"/>
      <c r="Q189" t="inlineStr"/>
    </row>
    <row r="190">
      <c r="A190" t="inlineStr">
        <is>
          <t>shreya.v</t>
        </is>
      </c>
      <c r="B190" t="inlineStr">
        <is>
          <t>Shreya Ved</t>
        </is>
      </c>
      <c r="C190" t="inlineStr">
        <is>
          <t>shreya.v@osmosys.co</t>
        </is>
      </c>
      <c r="D190" t="inlineStr">
        <is>
          <t>incident-reporter</t>
        </is>
      </c>
      <c r="E190">
        <f>HYPERLINK("http://gitlab.osmosys.co/incident-reporter/incident-reporter-angular-portal", "OQSHA Portal")</f>
        <v/>
      </c>
      <c r="F190">
        <f>HYPERLINK("http://gitlab.osmosys.co/incident-reporter/incident-reporter-angular-portal/-/merge_requests/3582", "feat: add library export csv functionality")</f>
        <v/>
      </c>
      <c r="G190" t="inlineStr">
        <is>
          <t>feat/library-csv</t>
        </is>
      </c>
      <c r="H190" t="inlineStr">
        <is>
          <t>sprint-17</t>
        </is>
      </c>
      <c r="I190" t="inlineStr">
        <is>
          <t>merged</t>
        </is>
      </c>
      <c r="J190" t="inlineStr">
        <is>
          <t>6ee0d5cf8f9f82f09a2cdc78715c136833ef8098</t>
        </is>
      </c>
      <c r="K190">
        <f>HYPERLINK("http://gitlab.osmosys.co/incident-reporter/incident-reporter-angular-portal/-/merge_requests/3582#note_241362", "Why was 'ResponsiveToggle' removed? It is intended so if any reason to remove, then kindly mention the change in the PR description and here as well")</f>
        <v/>
      </c>
      <c r="L190" t="inlineStr">
        <is>
          <t>2025-07-24 15:06:45.884 IST</t>
        </is>
      </c>
      <c r="M190" t="inlineStr">
        <is>
          <t>Soundariya B</t>
        </is>
      </c>
      <c r="N190" t="inlineStr">
        <is>
          <t>Yes</t>
        </is>
      </c>
      <c r="O190" t="inlineStr">
        <is>
          <t>Yes</t>
        </is>
      </c>
      <c r="P190" t="inlineStr">
        <is>
          <t>Soundariya B</t>
        </is>
      </c>
      <c r="Q190" t="inlineStr">
        <is>
          <t>Neutral</t>
        </is>
      </c>
    </row>
    <row r="191">
      <c r="A191" t="inlineStr">
        <is>
          <t>shreya.v</t>
        </is>
      </c>
      <c r="B191" t="inlineStr">
        <is>
          <t>Shreya Ved</t>
        </is>
      </c>
      <c r="C191" t="inlineStr">
        <is>
          <t>shreya.v@osmosys.co</t>
        </is>
      </c>
      <c r="D191" t="inlineStr">
        <is>
          <t>incident-reporter</t>
        </is>
      </c>
      <c r="E191">
        <f>HYPERLINK("http://gitlab.osmosys.co/incident-reporter/incident-reporter-angular-portal", "OQSHA Portal")</f>
        <v/>
      </c>
      <c r="F191">
        <f>HYPERLINK("http://gitlab.osmosys.co/incident-reporter/incident-reporter-angular-portal/-/merge_requests/3582", "feat: add library export csv functionality")</f>
        <v/>
      </c>
      <c r="G191" t="inlineStr">
        <is>
          <t>feat/library-csv</t>
        </is>
      </c>
      <c r="H191" t="inlineStr">
        <is>
          <t>sprint-17</t>
        </is>
      </c>
      <c r="I191" t="inlineStr">
        <is>
          <t>merged</t>
        </is>
      </c>
      <c r="J191" t="inlineStr">
        <is>
          <t>6ee0d5cf8f9f82f09a2cdc78715c136833ef8098</t>
        </is>
      </c>
      <c r="K191">
        <f>HYPERLINK("http://gitlab.osmosys.co/incident-reporter/incident-reporter-angular-portal/-/merge_requests/3582#note_241381", "It is removed intentionally after having a talk with Paritosh. He said he missed to remove it so I can as it was causing issue in column names.")</f>
        <v/>
      </c>
      <c r="L191" t="inlineStr">
        <is>
          <t>2025-07-24 15:26:24.394 IST</t>
        </is>
      </c>
      <c r="M191" t="inlineStr">
        <is>
          <t>Shreya Ved</t>
        </is>
      </c>
      <c r="N191" t="inlineStr">
        <is>
          <t>No</t>
        </is>
      </c>
      <c r="O191" t="inlineStr">
        <is>
          <t>Yes</t>
        </is>
      </c>
      <c r="P191" t="inlineStr">
        <is>
          <t>Soundariya B</t>
        </is>
      </c>
      <c r="Q191" t="inlineStr">
        <is>
          <t>Neutral</t>
        </is>
      </c>
    </row>
    <row r="192">
      <c r="A192" t="inlineStr">
        <is>
          <t>shreya.v</t>
        </is>
      </c>
      <c r="B192" t="inlineStr">
        <is>
          <t>Shreya Ved</t>
        </is>
      </c>
      <c r="C192" t="inlineStr">
        <is>
          <t>shreya.v@osmosys.co</t>
        </is>
      </c>
      <c r="D192" t="inlineStr">
        <is>
          <t>incident-reporter</t>
        </is>
      </c>
      <c r="E192">
        <f>HYPERLINK("http://gitlab.osmosys.co/incident-reporter/incident-reporter-angular-portal", "OQSHA Portal")</f>
        <v/>
      </c>
      <c r="F192">
        <f>HYPERLINK("http://gitlab.osmosys.co/incident-reporter/incident-reporter-angular-portal/-/merge_requests/3582", "feat: add library export csv functionality")</f>
        <v/>
      </c>
      <c r="G192" t="inlineStr">
        <is>
          <t>feat/library-csv</t>
        </is>
      </c>
      <c r="H192" t="inlineStr">
        <is>
          <t>sprint-17</t>
        </is>
      </c>
      <c r="I192" t="inlineStr">
        <is>
          <t>merged</t>
        </is>
      </c>
      <c r="J192" t="inlineStr">
        <is>
          <t>d8db5241ac9be667b2e556bf6da8f70cbd9bdb55</t>
        </is>
      </c>
      <c r="K192">
        <f>HYPERLINK("http://gitlab.osmosys.co/incident-reporter/incident-reporter-angular-portal/-/merge_requests/3582#note_241368", "Why here contractor label key using instead of library?")</f>
        <v/>
      </c>
      <c r="L192" t="inlineStr">
        <is>
          <t>2025-07-24 15:11:37.813 IST</t>
        </is>
      </c>
      <c r="M192" t="inlineStr">
        <is>
          <t>Soundariya B</t>
        </is>
      </c>
      <c r="N192" t="inlineStr">
        <is>
          <t>Yes</t>
        </is>
      </c>
      <c r="O192" t="inlineStr">
        <is>
          <t>Yes</t>
        </is>
      </c>
      <c r="P192" t="inlineStr">
        <is>
          <t>Soundariya B</t>
        </is>
      </c>
      <c r="Q192" t="inlineStr">
        <is>
          <t>Neutral</t>
        </is>
      </c>
    </row>
    <row r="193">
      <c r="A193" t="inlineStr">
        <is>
          <t>shreya.v</t>
        </is>
      </c>
      <c r="B193" t="inlineStr">
        <is>
          <t>Shreya Ved</t>
        </is>
      </c>
      <c r="C193" t="inlineStr">
        <is>
          <t>shreya.v@osmosys.co</t>
        </is>
      </c>
      <c r="D193" t="inlineStr">
        <is>
          <t>incident-reporter</t>
        </is>
      </c>
      <c r="E193">
        <f>HYPERLINK("http://gitlab.osmosys.co/incident-reporter/incident-reporter-angular-portal", "OQSHA Portal")</f>
        <v/>
      </c>
      <c r="F193">
        <f>HYPERLINK("http://gitlab.osmosys.co/incident-reporter/incident-reporter-angular-portal/-/merge_requests/3582", "feat: add library export csv functionality")</f>
        <v/>
      </c>
      <c r="G193" t="inlineStr">
        <is>
          <t>feat/library-csv</t>
        </is>
      </c>
      <c r="H193" t="inlineStr">
        <is>
          <t>sprint-17</t>
        </is>
      </c>
      <c r="I193" t="inlineStr">
        <is>
          <t>merged</t>
        </is>
      </c>
      <c r="J193" t="inlineStr">
        <is>
          <t>d8db5241ac9be667b2e556bf6da8f70cbd9bdb55</t>
        </is>
      </c>
      <c r="K193">
        <f>HYPERLINK("http://gitlab.osmosys.co/incident-reporter/incident-reporter-angular-portal/-/merge_requests/3582#note_241383", "Created new common object")</f>
        <v/>
      </c>
      <c r="L193" t="inlineStr">
        <is>
          <t>2025-07-24 15:31:29.321 IST</t>
        </is>
      </c>
      <c r="M193" t="inlineStr">
        <is>
          <t>Shreya Ved</t>
        </is>
      </c>
      <c r="N193" t="inlineStr">
        <is>
          <t>No</t>
        </is>
      </c>
      <c r="O193" t="inlineStr">
        <is>
          <t>Yes</t>
        </is>
      </c>
      <c r="P193" t="inlineStr">
        <is>
          <t>Soundariya B</t>
        </is>
      </c>
      <c r="Q193" t="inlineStr">
        <is>
          <t>Neutral</t>
        </is>
      </c>
    </row>
    <row r="194">
      <c r="A194" t="inlineStr">
        <is>
          <t>shreya.v</t>
        </is>
      </c>
      <c r="B194" t="inlineStr">
        <is>
          <t>Shreya Ved</t>
        </is>
      </c>
      <c r="C194" t="inlineStr">
        <is>
          <t>shreya.v@osmosys.co</t>
        </is>
      </c>
      <c r="D194" t="inlineStr">
        <is>
          <t>incident-reporter</t>
        </is>
      </c>
      <c r="E194">
        <f>HYPERLINK("http://gitlab.osmosys.co/incident-reporter/incident-reporter-angular-portal", "OQSHA Portal")</f>
        <v/>
      </c>
      <c r="F194">
        <f>HYPERLINK("http://gitlab.osmosys.co/incident-reporter/incident-reporter-angular-portal/-/merge_requests/3581", "feat: add library csv")</f>
        <v/>
      </c>
      <c r="G194" t="inlineStr">
        <is>
          <t>feat/library-export</t>
        </is>
      </c>
      <c r="H194" t="inlineStr">
        <is>
          <t>sprint-18</t>
        </is>
      </c>
      <c r="I194" t="inlineStr">
        <is>
          <t>closed</t>
        </is>
      </c>
      <c r="J194" t="inlineStr">
        <is>
          <t>b9081b5e33864b3946c6bfa24915736c6e42b0ab</t>
        </is>
      </c>
      <c r="K194">
        <f>HYPERLINK("http://gitlab.osmosys.co/incident-reporter/incident-reporter-angular-portal/-/merge_requests/3581#note_241424", "Closing this as created new branch from sprint-17")</f>
        <v/>
      </c>
      <c r="L194" t="inlineStr">
        <is>
          <t>2025-07-24 16:25:31.528 IST</t>
        </is>
      </c>
      <c r="M194" t="inlineStr">
        <is>
          <t>Shreya Ved</t>
        </is>
      </c>
      <c r="N194" t="inlineStr">
        <is>
          <t>No</t>
        </is>
      </c>
      <c r="O194" t="inlineStr">
        <is>
          <t>No</t>
        </is>
      </c>
      <c r="P194" t="inlineStr"/>
      <c r="Q194" t="inlineStr">
        <is>
          <t>Neutral</t>
        </is>
      </c>
    </row>
    <row r="195">
      <c r="A195" t="inlineStr">
        <is>
          <t>shreya.v</t>
        </is>
      </c>
      <c r="B195" t="inlineStr">
        <is>
          <t>Shreya Ved</t>
        </is>
      </c>
      <c r="C195" t="inlineStr">
        <is>
          <t>shreya.v@osmosys.co</t>
        </is>
      </c>
      <c r="D195" t="inlineStr">
        <is>
          <t>incident-reporter</t>
        </is>
      </c>
      <c r="E195">
        <f>HYPERLINK("http://gitlab.osmosys.co/incident-reporter/incident-reporter-angular-portal", "OQSHA Portal")</f>
        <v/>
      </c>
      <c r="F195">
        <f>HYPERLINK("http://gitlab.osmosys.co/incident-reporter/incident-reporter-angular-portal/-/merge_requests/3572", "fix: add divider above category settings")</f>
        <v/>
      </c>
      <c r="G195" t="inlineStr">
        <is>
          <t>fix/task-category-divider</t>
        </is>
      </c>
      <c r="H195" t="inlineStr">
        <is>
          <t>sprint-18</t>
        </is>
      </c>
      <c r="I195" t="inlineStr">
        <is>
          <t>merged</t>
        </is>
      </c>
      <c r="J195" t="inlineStr"/>
      <c r="K195" t="inlineStr"/>
      <c r="L195" t="inlineStr"/>
      <c r="M195" t="inlineStr"/>
      <c r="N195" t="inlineStr"/>
      <c r="O195" t="inlineStr"/>
      <c r="P195" t="inlineStr"/>
      <c r="Q195" t="inlineStr"/>
    </row>
    <row r="196">
      <c r="A196" t="inlineStr">
        <is>
          <t>shreya.v</t>
        </is>
      </c>
      <c r="B196" t="inlineStr">
        <is>
          <t>Shreya Ved</t>
        </is>
      </c>
      <c r="C196" t="inlineStr">
        <is>
          <t>shreya.v@osmosys.co</t>
        </is>
      </c>
      <c r="D196" t="inlineStr">
        <is>
          <t>incident-reporter</t>
        </is>
      </c>
      <c r="E196">
        <f>HYPERLINK("http://gitlab.osmosys.co/incident-reporter/incident-reporter-angular-portal", "OQSHA Portal")</f>
        <v/>
      </c>
      <c r="F196">
        <f>HYPERLINK("http://gitlab.osmosys.co/incident-reporter/incident-reporter-angular-portal/-/merge_requests/3571", "fix: fix task csv payload")</f>
        <v/>
      </c>
      <c r="G196" t="inlineStr">
        <is>
          <t>fix/task-csv-payload</t>
        </is>
      </c>
      <c r="H196" t="inlineStr">
        <is>
          <t>sprint-17</t>
        </is>
      </c>
      <c r="I196" t="inlineStr">
        <is>
          <t>merged</t>
        </is>
      </c>
      <c r="J196" t="inlineStr"/>
      <c r="K196" t="inlineStr"/>
      <c r="L196" t="inlineStr"/>
      <c r="M196" t="inlineStr"/>
      <c r="N196" t="inlineStr"/>
      <c r="O196" t="inlineStr"/>
      <c r="P196" t="inlineStr"/>
      <c r="Q196" t="inlineStr"/>
    </row>
    <row r="197">
      <c r="A197" t="inlineStr">
        <is>
          <t>shreya.v</t>
        </is>
      </c>
      <c r="B197" t="inlineStr">
        <is>
          <t>Shreya Ved</t>
        </is>
      </c>
      <c r="C197" t="inlineStr">
        <is>
          <t>shreya.v@osmosys.co</t>
        </is>
      </c>
      <c r="D197" t="inlineStr">
        <is>
          <t>incident-reporter</t>
        </is>
      </c>
      <c r="E197">
        <f>HYPERLINK("http://gitlab.osmosys.co/incident-reporter/incident-reporter-angular-portal", "OQSHA Portal")</f>
        <v/>
      </c>
      <c r="F197">
        <f>HYPERLINK("http://gitlab.osmosys.co/incident-reporter/incident-reporter-angular-portal/-/merge_requests/3563", "fix: fix payload of notification export api")</f>
        <v/>
      </c>
      <c r="G197" t="inlineStr">
        <is>
          <t>fix/notification-csv</t>
        </is>
      </c>
      <c r="H197" t="inlineStr">
        <is>
          <t>sprint-18</t>
        </is>
      </c>
      <c r="I197" t="inlineStr">
        <is>
          <t>merged</t>
        </is>
      </c>
      <c r="J197" t="inlineStr"/>
      <c r="K197" t="inlineStr"/>
      <c r="L197" t="inlineStr"/>
      <c r="M197" t="inlineStr"/>
      <c r="N197" t="inlineStr"/>
      <c r="O197" t="inlineStr"/>
      <c r="P197" t="inlineStr"/>
      <c r="Q197" t="inlineStr"/>
    </row>
    <row r="198">
      <c r="A198" t="inlineStr">
        <is>
          <t>shreya.v</t>
        </is>
      </c>
      <c r="B198" t="inlineStr">
        <is>
          <t>Shreya Ved</t>
        </is>
      </c>
      <c r="C198" t="inlineStr">
        <is>
          <t>shreya.v@osmosys.co</t>
        </is>
      </c>
      <c r="D198" t="inlineStr">
        <is>
          <t>incident-reporter</t>
        </is>
      </c>
      <c r="E198">
        <f>HYPERLINK("http://gitlab.osmosys.co/incident-reporter/incident-reporter-angular-portal", "OQSHA Portal")</f>
        <v/>
      </c>
      <c r="F198">
        <f>HYPERLINK("http://gitlab.osmosys.co/incident-reporter/incident-reporter-angular-portal/-/merge_requests/3560", "fix: fix unselect all text")</f>
        <v/>
      </c>
      <c r="G198" t="inlineStr">
        <is>
          <t>fix/unselect-all-text</t>
        </is>
      </c>
      <c r="H198" t="inlineStr">
        <is>
          <t>sprint-18</t>
        </is>
      </c>
      <c r="I198" t="inlineStr">
        <is>
          <t>merged</t>
        </is>
      </c>
      <c r="J198" t="inlineStr"/>
      <c r="K198" t="inlineStr"/>
      <c r="L198" t="inlineStr"/>
      <c r="M198" t="inlineStr"/>
      <c r="N198" t="inlineStr"/>
      <c r="O198" t="inlineStr"/>
      <c r="P198" t="inlineStr"/>
      <c r="Q198" t="inlineStr"/>
    </row>
    <row r="199">
      <c r="A199" t="inlineStr">
        <is>
          <t>shreya.v</t>
        </is>
      </c>
      <c r="B199" t="inlineStr">
        <is>
          <t>Shreya Ved</t>
        </is>
      </c>
      <c r="C199" t="inlineStr">
        <is>
          <t>shreya.v@osmosys.co</t>
        </is>
      </c>
      <c r="D199" t="inlineStr">
        <is>
          <t>incident-reporter</t>
        </is>
      </c>
      <c r="E199">
        <f>HYPERLINK("http://gitlab.osmosys.co/incident-reporter/incident-reporter-angular-portal", "OQSHA Portal")</f>
        <v/>
      </c>
      <c r="F199">
        <f>HYPERLINK("http://gitlab.osmosys.co/incident-reporter/incident-reporter-angular-portal/-/merge_requests/3559", "fix: remove extra column task category from payload")</f>
        <v/>
      </c>
      <c r="G199" t="inlineStr">
        <is>
          <t>fix/task-csv</t>
        </is>
      </c>
      <c r="H199" t="inlineStr">
        <is>
          <t>sprint-18</t>
        </is>
      </c>
      <c r="I199" t="inlineStr">
        <is>
          <t>opened</t>
        </is>
      </c>
      <c r="J199" t="inlineStr"/>
      <c r="K199" t="inlineStr"/>
      <c r="L199" t="inlineStr"/>
      <c r="M199" t="inlineStr"/>
      <c r="N199" t="inlineStr"/>
      <c r="O199" t="inlineStr"/>
      <c r="P199" t="inlineStr"/>
      <c r="Q199" t="inlineStr"/>
    </row>
    <row r="200">
      <c r="A200" t="inlineStr">
        <is>
          <t>shreya.v</t>
        </is>
      </c>
      <c r="B200" t="inlineStr">
        <is>
          <t>Shreya Ved</t>
        </is>
      </c>
      <c r="C200" t="inlineStr">
        <is>
          <t>shreya.v@osmosys.co</t>
        </is>
      </c>
      <c r="D200" t="inlineStr">
        <is>
          <t>incident-reporter</t>
        </is>
      </c>
      <c r="E200">
        <f>HYPERLINK("http://gitlab.osmosys.co/incident-reporter/incident-reporter-angular-portal", "OQSHA Portal")</f>
        <v/>
      </c>
      <c r="F200">
        <f>HYPERLINK("http://gitlab.osmosys.co/incident-reporter/incident-reporter-angular-portal/-/merge_requests/3558", "fix: remove scrollbars when filter opens")</f>
        <v/>
      </c>
      <c r="G200" t="inlineStr">
        <is>
          <t>fix/remove-scrollbars</t>
        </is>
      </c>
      <c r="H200" t="inlineStr">
        <is>
          <t>sprint-18</t>
        </is>
      </c>
      <c r="I200" t="inlineStr">
        <is>
          <t>merged</t>
        </is>
      </c>
      <c r="J200" t="inlineStr"/>
      <c r="K200" t="inlineStr"/>
      <c r="L200" t="inlineStr"/>
      <c r="M200" t="inlineStr"/>
      <c r="N200" t="inlineStr"/>
      <c r="O200" t="inlineStr"/>
      <c r="P200" t="inlineStr"/>
      <c r="Q200" t="inlineStr"/>
    </row>
    <row r="201">
      <c r="A201" t="inlineStr">
        <is>
          <t>shreya.v</t>
        </is>
      </c>
      <c r="B201" t="inlineStr">
        <is>
          <t>Shreya Ved</t>
        </is>
      </c>
      <c r="C201" t="inlineStr">
        <is>
          <t>shreya.v@osmosys.co</t>
        </is>
      </c>
      <c r="D201" t="inlineStr">
        <is>
          <t>incident-reporter</t>
        </is>
      </c>
      <c r="E201">
        <f>HYPERLINK("http://gitlab.osmosys.co/incident-reporter/incident-reporter-angular-portal", "OQSHA Portal")</f>
        <v/>
      </c>
      <c r="F201">
        <f>HYPERLINK("http://gitlab.osmosys.co/incident-reporter/incident-reporter-angular-portal/-/merge_requests/3541", "fix: add notes for task status list page")</f>
        <v/>
      </c>
      <c r="G201" t="inlineStr">
        <is>
          <t>fix/task-status-notes</t>
        </is>
      </c>
      <c r="H201" t="inlineStr">
        <is>
          <t>sprint-18</t>
        </is>
      </c>
      <c r="I201" t="inlineStr">
        <is>
          <t>merged</t>
        </is>
      </c>
      <c r="J201" t="inlineStr">
        <is>
          <t>2d7e3c8cfc37d6ab9cb83e68535f3c03961a85e7</t>
        </is>
      </c>
      <c r="K201">
        <f>HYPERLINK("http://gitlab.osmosys.co/incident-reporter/incident-reporter-angular-portal/-/merge_requests/3541#note_240784", "Can you add the new labels of task status module for TTK org as well which you will find under 248 folder
1i8n \&gt; 248 \&gt; eng.json Please add here as well but in place of task just use action tracker as below I add the SS for your ref
![image.png](/uploads/118885ed4d668b0088b9340d171251d0/image.png)")</f>
        <v/>
      </c>
      <c r="L201" t="inlineStr">
        <is>
          <t>2025-07-23 13:10:03.899 IST</t>
        </is>
      </c>
      <c r="M201" t="inlineStr">
        <is>
          <t>Soundariya B</t>
        </is>
      </c>
      <c r="N201" t="inlineStr">
        <is>
          <t>Yes</t>
        </is>
      </c>
      <c r="O201" t="inlineStr">
        <is>
          <t>Yes</t>
        </is>
      </c>
      <c r="P201" t="inlineStr">
        <is>
          <t>Soundariya B</t>
        </is>
      </c>
      <c r="Q201" t="inlineStr">
        <is>
          <t>Bad</t>
        </is>
      </c>
    </row>
    <row r="202">
      <c r="A202" t="inlineStr">
        <is>
          <t>shreya.v</t>
        </is>
      </c>
      <c r="B202" t="inlineStr">
        <is>
          <t>Shreya Ved</t>
        </is>
      </c>
      <c r="C202" t="inlineStr">
        <is>
          <t>shreya.v@osmosys.co</t>
        </is>
      </c>
      <c r="D202" t="inlineStr">
        <is>
          <t>incident-reporter</t>
        </is>
      </c>
      <c r="E202">
        <f>HYPERLINK("http://gitlab.osmosys.co/incident-reporter/incident-reporter-angular-portal", "OQSHA Portal")</f>
        <v/>
      </c>
      <c r="F202">
        <f>HYPERLINK("http://gitlab.osmosys.co/incident-reporter/incident-reporter-angular-portal/-/merge_requests/3541", "fix: add notes for task status list page")</f>
        <v/>
      </c>
      <c r="G202" t="inlineStr">
        <is>
          <t>fix/task-status-notes</t>
        </is>
      </c>
      <c r="H202" t="inlineStr">
        <is>
          <t>sprint-18</t>
        </is>
      </c>
      <c r="I202" t="inlineStr">
        <is>
          <t>merged</t>
        </is>
      </c>
      <c r="J202" t="inlineStr">
        <is>
          <t>2d7e3c8cfc37d6ab9cb83e68535f3c03961a85e7</t>
        </is>
      </c>
      <c r="K202">
        <f>HYPERLINK("http://gitlab.osmosys.co/incident-reporter/incident-reporter-angular-portal/-/merge_requests/3541#note_241700", "It is there already Action tracker status. I added the notes too.")</f>
        <v/>
      </c>
      <c r="L202" t="inlineStr">
        <is>
          <t>2025-07-25 09:37:24.917 IST</t>
        </is>
      </c>
      <c r="M202" t="inlineStr">
        <is>
          <t>Shreya Ved</t>
        </is>
      </c>
      <c r="N202" t="inlineStr">
        <is>
          <t>No</t>
        </is>
      </c>
      <c r="O202" t="inlineStr">
        <is>
          <t>Yes</t>
        </is>
      </c>
      <c r="P202" t="inlineStr">
        <is>
          <t>Soundariya B</t>
        </is>
      </c>
      <c r="Q202" t="inlineStr">
        <is>
          <t>Bad</t>
        </is>
      </c>
    </row>
    <row r="203">
      <c r="A203" t="inlineStr">
        <is>
          <t>shreya.v</t>
        </is>
      </c>
      <c r="B203" t="inlineStr">
        <is>
          <t>Shreya Ved</t>
        </is>
      </c>
      <c r="C203" t="inlineStr">
        <is>
          <t>shreya.v@osmosys.co</t>
        </is>
      </c>
      <c r="D203" t="inlineStr">
        <is>
          <t>incident-reporter</t>
        </is>
      </c>
      <c r="E203">
        <f>HYPERLINK("http://gitlab.osmosys.co/incident-reporter/incident-reporter-angular-portal", "OQSHA Portal")</f>
        <v/>
      </c>
      <c r="F203">
        <f>HYPERLINK("http://gitlab.osmosys.co/incident-reporter/incident-reporter-angular-portal/-/merge_requests/3541", "fix: add notes for task status list page")</f>
        <v/>
      </c>
      <c r="G203" t="inlineStr">
        <is>
          <t>fix/task-status-notes</t>
        </is>
      </c>
      <c r="H203" t="inlineStr">
        <is>
          <t>sprint-18</t>
        </is>
      </c>
      <c r="I203" t="inlineStr">
        <is>
          <t>merged</t>
        </is>
      </c>
      <c r="J203" t="inlineStr">
        <is>
          <t>2d7e3c8cfc37d6ab9cb83e68535f3c03961a85e7</t>
        </is>
      </c>
      <c r="K203">
        <f>HYPERLINK("http://gitlab.osmosys.co/incident-reporter/incident-reporter-angular-portal/-/merge_requests/3541#note_241743", "Raised the another thread related this thread please check and fix it")</f>
        <v/>
      </c>
      <c r="L203" t="inlineStr">
        <is>
          <t>2025-07-25 10:30:29.631 IST</t>
        </is>
      </c>
      <c r="M203" t="inlineStr">
        <is>
          <t>Soundariya B</t>
        </is>
      </c>
      <c r="N203" t="inlineStr">
        <is>
          <t>Yes</t>
        </is>
      </c>
      <c r="O203" t="inlineStr">
        <is>
          <t>Yes</t>
        </is>
      </c>
      <c r="P203" t="inlineStr">
        <is>
          <t>Soundariya B</t>
        </is>
      </c>
      <c r="Q203" t="inlineStr">
        <is>
          <t>Bad</t>
        </is>
      </c>
    </row>
    <row r="204">
      <c r="A204" t="inlineStr">
        <is>
          <t>shreya.v</t>
        </is>
      </c>
      <c r="B204" t="inlineStr">
        <is>
          <t>Shreya Ved</t>
        </is>
      </c>
      <c r="C204" t="inlineStr">
        <is>
          <t>shreya.v@osmosys.co</t>
        </is>
      </c>
      <c r="D204" t="inlineStr">
        <is>
          <t>incident-reporter</t>
        </is>
      </c>
      <c r="E204">
        <f>HYPERLINK("http://gitlab.osmosys.co/incident-reporter/incident-reporter-angular-portal", "OQSHA Portal")</f>
        <v/>
      </c>
      <c r="F204">
        <f>HYPERLINK("http://gitlab.osmosys.co/incident-reporter/incident-reporter-angular-portal/-/merge_requests/3541", "fix: add notes for task status list page")</f>
        <v/>
      </c>
      <c r="G204" t="inlineStr">
        <is>
          <t>fix/task-status-notes</t>
        </is>
      </c>
      <c r="H204" t="inlineStr">
        <is>
          <t>sprint-18</t>
        </is>
      </c>
      <c r="I204" t="inlineStr">
        <is>
          <t>merged</t>
        </is>
      </c>
      <c r="J204" t="inlineStr">
        <is>
          <t>e2f0886a3ccc9eccdf7728d6d15bb41dbc1a1e4c</t>
        </is>
      </c>
      <c r="K204">
        <f>HYPERLINK("http://gitlab.osmosys.co/incident-reporter/incident-reporter-angular-portal/-/merge_requests/3541#note_240785", "Remove it - The sentence _"Manage the task statuses here"_ is crossed out in red, which suggests it's outdated, confusing, or unnecessary.
And also I believe those added points are already verified and confirmed by Raj if not then please ask him to take a look at once.
![image.png](/uploads/cb2776d95cb3118b893f9613f29f1633/image.png)")</f>
        <v/>
      </c>
      <c r="L204" t="inlineStr">
        <is>
          <t>2025-07-23 13:10:03.960 IST</t>
        </is>
      </c>
      <c r="M204" t="inlineStr">
        <is>
          <t>Soundariya B</t>
        </is>
      </c>
      <c r="N204" t="inlineStr">
        <is>
          <t>Yes</t>
        </is>
      </c>
      <c r="O204" t="inlineStr">
        <is>
          <t>Yes</t>
        </is>
      </c>
      <c r="P204" t="inlineStr">
        <is>
          <t>Soundariya B</t>
        </is>
      </c>
      <c r="Q204" t="inlineStr">
        <is>
          <t>Bad</t>
        </is>
      </c>
    </row>
    <row r="205">
      <c r="A205" t="inlineStr">
        <is>
          <t>shreya.v</t>
        </is>
      </c>
      <c r="B205" t="inlineStr">
        <is>
          <t>Shreya Ved</t>
        </is>
      </c>
      <c r="C205" t="inlineStr">
        <is>
          <t>shreya.v@osmosys.co</t>
        </is>
      </c>
      <c r="D205" t="inlineStr">
        <is>
          <t>incident-reporter</t>
        </is>
      </c>
      <c r="E205">
        <f>HYPERLINK("http://gitlab.osmosys.co/incident-reporter/incident-reporter-angular-portal", "OQSHA Portal")</f>
        <v/>
      </c>
      <c r="F205">
        <f>HYPERLINK("http://gitlab.osmosys.co/incident-reporter/incident-reporter-angular-portal/-/merge_requests/3541", "fix: add notes for task status list page")</f>
        <v/>
      </c>
      <c r="G205" t="inlineStr">
        <is>
          <t>fix/task-status-notes</t>
        </is>
      </c>
      <c r="H205" t="inlineStr">
        <is>
          <t>sprint-18</t>
        </is>
      </c>
      <c r="I205" t="inlineStr">
        <is>
          <t>merged</t>
        </is>
      </c>
      <c r="J205" t="inlineStr">
        <is>
          <t>e2f0886a3ccc9eccdf7728d6d15bb41dbc1a1e4c</t>
        </is>
      </c>
      <c r="K205">
        <f>HYPERLINK("http://gitlab.osmosys.co/incident-reporter/incident-reporter-angular-portal/-/merge_requests/3541#note_241701", "Removed _"Manage the task statuses here"_ from both i18n and 248
Showed it to Raj after modifying sentences from chatgpt.")</f>
        <v/>
      </c>
      <c r="L205" t="inlineStr">
        <is>
          <t>2025-07-25 09:38:20.495 IST</t>
        </is>
      </c>
      <c r="M205" t="inlineStr">
        <is>
          <t>Shreya Ved</t>
        </is>
      </c>
      <c r="N205" t="inlineStr">
        <is>
          <t>No</t>
        </is>
      </c>
      <c r="O205" t="inlineStr">
        <is>
          <t>Yes</t>
        </is>
      </c>
      <c r="P205" t="inlineStr">
        <is>
          <t>Soundariya B</t>
        </is>
      </c>
      <c r="Q205" t="inlineStr">
        <is>
          <t>Bad</t>
        </is>
      </c>
    </row>
    <row r="206">
      <c r="A206" t="inlineStr">
        <is>
          <t>shreya.v</t>
        </is>
      </c>
      <c r="B206" t="inlineStr">
        <is>
          <t>Shreya Ved</t>
        </is>
      </c>
      <c r="C206" t="inlineStr">
        <is>
          <t>shreya.v@osmosys.co</t>
        </is>
      </c>
      <c r="D206" t="inlineStr">
        <is>
          <t>incident-reporter</t>
        </is>
      </c>
      <c r="E206">
        <f>HYPERLINK("http://gitlab.osmosys.co/incident-reporter/incident-reporter-angular-portal", "OQSHA Portal")</f>
        <v/>
      </c>
      <c r="F206">
        <f>HYPERLINK("http://gitlab.osmosys.co/incident-reporter/incident-reporter-angular-portal/-/merge_requests/3541", "fix: add notes for task status list page")</f>
        <v/>
      </c>
      <c r="G206" t="inlineStr">
        <is>
          <t>fix/task-status-notes</t>
        </is>
      </c>
      <c r="H206" t="inlineStr">
        <is>
          <t>sprint-18</t>
        </is>
      </c>
      <c r="I206" t="inlineStr">
        <is>
          <t>merged</t>
        </is>
      </c>
      <c r="J206" t="inlineStr">
        <is>
          <t>4ac9c1da4b202ce5c5ff6d20cd00a97f27d3a04a</t>
        </is>
      </c>
      <c r="K206">
        <f>HYPERLINK("http://gitlab.osmosys.co/incident-reporter/incident-reporter-angular-portal/-/merge_requests/3541#note_241744", "Please ready my comment and add the changes carefully http://gitlab.osmosys.co/incident-reporter/incident-reporter-angular-portal/-/merge_requests/3541#note_240784")</f>
        <v/>
      </c>
      <c r="L206" t="inlineStr">
        <is>
          <t>2025-07-25 10:30:47.472 IST</t>
        </is>
      </c>
      <c r="M206" t="inlineStr">
        <is>
          <t>Soundariya B</t>
        </is>
      </c>
      <c r="N206" t="inlineStr">
        <is>
          <t>Yes</t>
        </is>
      </c>
      <c r="O206" t="inlineStr">
        <is>
          <t>Yes</t>
        </is>
      </c>
      <c r="P206" t="inlineStr">
        <is>
          <t>Soundariya B</t>
        </is>
      </c>
      <c r="Q206" t="inlineStr">
        <is>
          <t>Bad</t>
        </is>
      </c>
    </row>
    <row r="207">
      <c r="A207" t="inlineStr">
        <is>
          <t>shreya.v</t>
        </is>
      </c>
      <c r="B207" t="inlineStr">
        <is>
          <t>Shreya Ved</t>
        </is>
      </c>
      <c r="C207" t="inlineStr">
        <is>
          <t>shreya.v@osmosys.co</t>
        </is>
      </c>
      <c r="D207" t="inlineStr">
        <is>
          <t>incident-reporter</t>
        </is>
      </c>
      <c r="E207">
        <f>HYPERLINK("http://gitlab.osmosys.co/incident-reporter/incident-reporter-angular-portal", "OQSHA Portal")</f>
        <v/>
      </c>
      <c r="F207">
        <f>HYPERLINK("http://gitlab.osmosys.co/incident-reporter/incident-reporter-angular-portal/-/merge_requests/3541", "fix: add notes for task status list page")</f>
        <v/>
      </c>
      <c r="G207" t="inlineStr">
        <is>
          <t>fix/task-status-notes</t>
        </is>
      </c>
      <c r="H207" t="inlineStr">
        <is>
          <t>sprint-18</t>
        </is>
      </c>
      <c r="I207" t="inlineStr">
        <is>
          <t>merged</t>
        </is>
      </c>
      <c r="J207" t="inlineStr">
        <is>
          <t>4ac9c1da4b202ce5c5ff6d20cd00a97f27d3a04a</t>
        </is>
      </c>
      <c r="K207">
        <f>HYPERLINK("http://gitlab.osmosys.co/incident-reporter/incident-reporter-angular-portal/-/merge_requests/3541#note_241906", "done")</f>
        <v/>
      </c>
      <c r="L207" t="inlineStr">
        <is>
          <t>2025-07-25 16:24:04.730 IST</t>
        </is>
      </c>
      <c r="M207" t="inlineStr">
        <is>
          <t>Shreya Ved</t>
        </is>
      </c>
      <c r="N207" t="inlineStr">
        <is>
          <t>No</t>
        </is>
      </c>
      <c r="O207" t="inlineStr">
        <is>
          <t>Yes</t>
        </is>
      </c>
      <c r="P207" t="inlineStr">
        <is>
          <t>Soundariya B</t>
        </is>
      </c>
      <c r="Q207" t="inlineStr">
        <is>
          <t>Bad</t>
        </is>
      </c>
    </row>
    <row r="208">
      <c r="A208" t="inlineStr">
        <is>
          <t>shreya.v</t>
        </is>
      </c>
      <c r="B208" t="inlineStr">
        <is>
          <t>Shreya Ved</t>
        </is>
      </c>
      <c r="C208" t="inlineStr">
        <is>
          <t>shreya.v@osmosys.co</t>
        </is>
      </c>
      <c r="D208" t="inlineStr">
        <is>
          <t>incident-reporter</t>
        </is>
      </c>
      <c r="E208">
        <f>HYPERLINK("http://gitlab.osmosys.co/incident-reporter/incident-reporter-angular-portal", "OQSHA Portal")</f>
        <v/>
      </c>
      <c r="F208">
        <f>HYPERLINK("http://gitlab.osmosys.co/incident-reporter/incident-reporter-angular-portal/-/merge_requests/3541", "fix: add notes for task status list page")</f>
        <v/>
      </c>
      <c r="G208" t="inlineStr">
        <is>
          <t>fix/task-status-notes</t>
        </is>
      </c>
      <c r="H208" t="inlineStr">
        <is>
          <t>sprint-18</t>
        </is>
      </c>
      <c r="I208" t="inlineStr">
        <is>
          <t>merged</t>
        </is>
      </c>
      <c r="J208" t="inlineStr">
        <is>
          <t>c1549f9c00056a61f6c974eab23ecd46aad99aed</t>
        </is>
      </c>
      <c r="K208">
        <f>HYPERLINK("http://gitlab.osmosys.co/incident-reporter/incident-reporter-angular-portal/-/merge_requests/3541#note_241747", "It should be task status instead of Task Status - Fix it in other files")</f>
        <v/>
      </c>
      <c r="L208" t="inlineStr">
        <is>
          <t>2025-07-25 10:33:21.113 IST</t>
        </is>
      </c>
      <c r="M208" t="inlineStr">
        <is>
          <t>Soundariya B</t>
        </is>
      </c>
      <c r="N208" t="inlineStr">
        <is>
          <t>Yes</t>
        </is>
      </c>
      <c r="O208" t="inlineStr">
        <is>
          <t>Yes</t>
        </is>
      </c>
      <c r="P208" t="inlineStr">
        <is>
          <t>Soundariya B</t>
        </is>
      </c>
      <c r="Q208" t="inlineStr">
        <is>
          <t>Bad</t>
        </is>
      </c>
    </row>
    <row r="209">
      <c r="A209" t="inlineStr">
        <is>
          <t>shreya.v</t>
        </is>
      </c>
      <c r="B209" t="inlineStr">
        <is>
          <t>Shreya Ved</t>
        </is>
      </c>
      <c r="C209" t="inlineStr">
        <is>
          <t>shreya.v@osmosys.co</t>
        </is>
      </c>
      <c r="D209" t="inlineStr">
        <is>
          <t>incident-reporter</t>
        </is>
      </c>
      <c r="E209">
        <f>HYPERLINK("http://gitlab.osmosys.co/incident-reporter/incident-reporter-angular-portal", "OQSHA Portal")</f>
        <v/>
      </c>
      <c r="F209">
        <f>HYPERLINK("http://gitlab.osmosys.co/incident-reporter/incident-reporter-angular-portal/-/merge_requests/3541", "fix: add notes for task status list page")</f>
        <v/>
      </c>
      <c r="G209" t="inlineStr">
        <is>
          <t>fix/task-status-notes</t>
        </is>
      </c>
      <c r="H209" t="inlineStr">
        <is>
          <t>sprint-18</t>
        </is>
      </c>
      <c r="I209" t="inlineStr">
        <is>
          <t>merged</t>
        </is>
      </c>
      <c r="J209" t="inlineStr">
        <is>
          <t>c1549f9c00056a61f6c974eab23ecd46aad99aed</t>
        </is>
      </c>
      <c r="K209">
        <f>HYPERLINK("http://gitlab.osmosys.co/incident-reporter/incident-reporter-angular-portal/-/merge_requests/3541#note_241904", "done")</f>
        <v/>
      </c>
      <c r="L209" t="inlineStr">
        <is>
          <t>2025-07-25 16:24:00.429 IST</t>
        </is>
      </c>
      <c r="M209" t="inlineStr">
        <is>
          <t>Shreya Ved</t>
        </is>
      </c>
      <c r="N209" t="inlineStr">
        <is>
          <t>No</t>
        </is>
      </c>
      <c r="O209" t="inlineStr">
        <is>
          <t>Yes</t>
        </is>
      </c>
      <c r="P209" t="inlineStr">
        <is>
          <t>Soundariya B</t>
        </is>
      </c>
      <c r="Q209" t="inlineStr">
        <is>
          <t>Bad</t>
        </is>
      </c>
    </row>
    <row r="210">
      <c r="A210" t="inlineStr">
        <is>
          <t>shreya.v</t>
        </is>
      </c>
      <c r="B210" t="inlineStr">
        <is>
          <t>Shreya Ved</t>
        </is>
      </c>
      <c r="C210" t="inlineStr">
        <is>
          <t>shreya.v@osmosys.co</t>
        </is>
      </c>
      <c r="D210" t="inlineStr">
        <is>
          <t>incident-reporter</t>
        </is>
      </c>
      <c r="E210">
        <f>HYPERLINK("http://gitlab.osmosys.co/incident-reporter/incident-reporter-angular-portal", "OQSHA Portal")</f>
        <v/>
      </c>
      <c r="F210">
        <f>HYPERLINK("http://gitlab.osmosys.co/incident-reporter/incident-reporter-angular-portal/-/merge_requests/3537", "fix: remove whitespace space in inspection type name")</f>
        <v/>
      </c>
      <c r="G210" t="inlineStr">
        <is>
          <t>fix/inspection-type-space</t>
        </is>
      </c>
      <c r="H210" t="inlineStr">
        <is>
          <t>sprint-18</t>
        </is>
      </c>
      <c r="I210" t="inlineStr">
        <is>
          <t>merged</t>
        </is>
      </c>
      <c r="J210" t="inlineStr"/>
      <c r="K210" t="inlineStr"/>
      <c r="L210" t="inlineStr"/>
      <c r="M210" t="inlineStr"/>
      <c r="N210" t="inlineStr"/>
      <c r="O210" t="inlineStr"/>
      <c r="P210" t="inlineStr"/>
      <c r="Q210" t="inlineStr"/>
    </row>
    <row r="211">
      <c r="A211" t="inlineStr">
        <is>
          <t>shreya.v</t>
        </is>
      </c>
      <c r="B211" t="inlineStr">
        <is>
          <t>Shreya Ved</t>
        </is>
      </c>
      <c r="C211" t="inlineStr">
        <is>
          <t>shreya.v@osmosys.co</t>
        </is>
      </c>
      <c r="D211" t="inlineStr">
        <is>
          <t>incident-reporter</t>
        </is>
      </c>
      <c r="E211">
        <f>HYPERLINK("http://gitlab.osmosys.co/incident-reporter/incident-reporter-angular-portal", "OQSHA Portal")</f>
        <v/>
      </c>
      <c r="F211">
        <f>HYPERLINK("http://gitlab.osmosys.co/incident-reporter/incident-reporter-angular-portal/-/merge_requests/3532", "fix: validate department dropdown on site basis")</f>
        <v/>
      </c>
      <c r="G211" t="inlineStr">
        <is>
          <t>fix/department-dropdown-moc</t>
        </is>
      </c>
      <c r="H211" t="inlineStr">
        <is>
          <t>sprint-18</t>
        </is>
      </c>
      <c r="I211" t="inlineStr">
        <is>
          <t>merged</t>
        </is>
      </c>
      <c r="J211" t="inlineStr"/>
      <c r="K211" t="inlineStr"/>
      <c r="L211" t="inlineStr"/>
      <c r="M211" t="inlineStr"/>
      <c r="N211" t="inlineStr"/>
      <c r="O211" t="inlineStr"/>
      <c r="P211" t="inlineStr"/>
      <c r="Q211" t="inlineStr"/>
    </row>
    <row r="212">
      <c r="A212" t="inlineStr">
        <is>
          <t>shreya.v</t>
        </is>
      </c>
      <c r="B212" t="inlineStr">
        <is>
          <t>Shreya Ved</t>
        </is>
      </c>
      <c r="C212" t="inlineStr">
        <is>
          <t>shreya.v@osmosys.co</t>
        </is>
      </c>
      <c r="D212" t="inlineStr">
        <is>
          <t>incident-reporter</t>
        </is>
      </c>
      <c r="E212">
        <f>HYPERLINK("http://gitlab.osmosys.co/incident-reporter/incident-reporter-angular-portal", "OQSHA Portal")</f>
        <v/>
      </c>
      <c r="F212">
        <f>HYPERLINK("http://gitlab.osmosys.co/incident-reporter/incident-reporter-angular-portal/-/merge_requests/3531", "fix: remove unnecessary text from  ui of comment history")</f>
        <v/>
      </c>
      <c r="G212" t="inlineStr">
        <is>
          <t>fix/comment-history-ui</t>
        </is>
      </c>
      <c r="H212" t="inlineStr">
        <is>
          <t>sprint-18</t>
        </is>
      </c>
      <c r="I212" t="inlineStr">
        <is>
          <t>merged</t>
        </is>
      </c>
      <c r="J212" t="inlineStr"/>
      <c r="K212" t="inlineStr"/>
      <c r="L212" t="inlineStr"/>
      <c r="M212" t="inlineStr"/>
      <c r="N212" t="inlineStr"/>
      <c r="O212" t="inlineStr"/>
      <c r="P212" t="inlineStr"/>
      <c r="Q212" t="inlineStr"/>
    </row>
    <row r="213">
      <c r="A213" t="inlineStr">
        <is>
          <t>shreya.v</t>
        </is>
      </c>
      <c r="B213" t="inlineStr">
        <is>
          <t>Shreya Ved</t>
        </is>
      </c>
      <c r="C213" t="inlineStr">
        <is>
          <t>shreya.v@osmosys.co</t>
        </is>
      </c>
      <c r="D213" t="inlineStr">
        <is>
          <t>incident-reporter</t>
        </is>
      </c>
      <c r="E213">
        <f>HYPERLINK("http://gitlab.osmosys.co/incident-reporter/incident-reporter-angular-portal", "OQSHA Portal")</f>
        <v/>
      </c>
      <c r="F213">
        <f>HYPERLINK("http://gitlab.osmosys.co/incident-reporter/incident-reporter-angular-portal/-/merge_requests/3524", "feat: hide similar incident detection code on portal")</f>
        <v/>
      </c>
      <c r="G213" t="inlineStr">
        <is>
          <t>feat/remove-similar-incident</t>
        </is>
      </c>
      <c r="H213" t="inlineStr">
        <is>
          <t>sprint-18</t>
        </is>
      </c>
      <c r="I213" t="inlineStr">
        <is>
          <t>merged</t>
        </is>
      </c>
      <c r="J213" t="inlineStr">
        <is>
          <t>a8f45718395b7694b19d58aee84b79c62fafb7a9</t>
        </is>
      </c>
      <c r="K213">
        <f>HYPERLINK("http://gitlab.osmosys.co/incident-reporter/incident-reporter-angular-portal/-/merge_requests/3524#note_240929", "I know this not a part of this PR but can be fix because its very small fix and can be noticeable
![image.png](/uploads/4179c97cf0d8f1dc0de76fe100a7e705/image.png)")</f>
        <v/>
      </c>
      <c r="L213" t="inlineStr">
        <is>
          <t>2025-07-23 16:56:57.606 IST</t>
        </is>
      </c>
      <c r="M213" t="inlineStr">
        <is>
          <t>Soundariya B</t>
        </is>
      </c>
      <c r="N213" t="inlineStr">
        <is>
          <t>Yes</t>
        </is>
      </c>
      <c r="O213" t="inlineStr">
        <is>
          <t>Yes</t>
        </is>
      </c>
      <c r="P213" t="inlineStr">
        <is>
          <t>Soundariya B</t>
        </is>
      </c>
      <c r="Q213" t="inlineStr">
        <is>
          <t>Neutral</t>
        </is>
      </c>
    </row>
    <row r="214">
      <c r="A214" t="inlineStr">
        <is>
          <t>shreya.v</t>
        </is>
      </c>
      <c r="B214" t="inlineStr">
        <is>
          <t>Shreya Ved</t>
        </is>
      </c>
      <c r="C214" t="inlineStr">
        <is>
          <t>shreya.v@osmosys.co</t>
        </is>
      </c>
      <c r="D214" t="inlineStr">
        <is>
          <t>incident-reporter</t>
        </is>
      </c>
      <c r="E214">
        <f>HYPERLINK("http://gitlab.osmosys.co/incident-reporter/incident-reporter-angular-portal", "OQSHA Portal")</f>
        <v/>
      </c>
      <c r="F214">
        <f>HYPERLINK("http://gitlab.osmosys.co/incident-reporter/incident-reporter-angular-portal/-/merge_requests/3524", "feat: hide similar incident detection code on portal")</f>
        <v/>
      </c>
      <c r="G214" t="inlineStr">
        <is>
          <t>feat/remove-similar-incident</t>
        </is>
      </c>
      <c r="H214" t="inlineStr">
        <is>
          <t>sprint-18</t>
        </is>
      </c>
      <c r="I214" t="inlineStr">
        <is>
          <t>merged</t>
        </is>
      </c>
      <c r="J214" t="inlineStr">
        <is>
          <t>a8f45718395b7694b19d58aee84b79c62fafb7a9</t>
        </is>
      </c>
      <c r="K214">
        <f>HYPERLINK("http://gitlab.osmosys.co/incident-reporter/incident-reporter-angular-portal/-/merge_requests/3524#note_241506", "ok")</f>
        <v/>
      </c>
      <c r="L214" t="inlineStr">
        <is>
          <t>2025-07-24 18:04:52.303 IST</t>
        </is>
      </c>
      <c r="M214" t="inlineStr">
        <is>
          <t>Shreya Ved</t>
        </is>
      </c>
      <c r="N214" t="inlineStr">
        <is>
          <t>No</t>
        </is>
      </c>
      <c r="O214" t="inlineStr">
        <is>
          <t>Yes</t>
        </is>
      </c>
      <c r="P214" t="inlineStr">
        <is>
          <t>Soundariya B</t>
        </is>
      </c>
      <c r="Q214" t="inlineStr">
        <is>
          <t>Neutral</t>
        </is>
      </c>
    </row>
    <row r="215">
      <c r="A215" t="inlineStr">
        <is>
          <t>shreya.v</t>
        </is>
      </c>
      <c r="B215" t="inlineStr">
        <is>
          <t>Shreya Ved</t>
        </is>
      </c>
      <c r="C215" t="inlineStr">
        <is>
          <t>shreya.v@osmosys.co</t>
        </is>
      </c>
      <c r="D215" t="inlineStr">
        <is>
          <t>incident-reporter</t>
        </is>
      </c>
      <c r="E215">
        <f>HYPERLINK("http://gitlab.osmosys.co/incident-reporter/incident-reporter-angular-portal", "OQSHA Portal")</f>
        <v/>
      </c>
      <c r="F215">
        <f>HYPERLINK("http://gitlab.osmosys.co/incident-reporter/incident-reporter-angular-portal/-/merge_requests/3524", "feat: hide similar incident detection code on portal")</f>
        <v/>
      </c>
      <c r="G215" t="inlineStr">
        <is>
          <t>feat/remove-similar-incident</t>
        </is>
      </c>
      <c r="H215" t="inlineStr">
        <is>
          <t>sprint-18</t>
        </is>
      </c>
      <c r="I215" t="inlineStr">
        <is>
          <t>merged</t>
        </is>
      </c>
      <c r="J215" t="inlineStr">
        <is>
          <t>f9562a615fd3f7761315d050da86b52462659f36</t>
        </is>
      </c>
      <c r="K215">
        <f>HYPERLINK("http://gitlab.osmosys.co/incident-reporter/incident-reporter-angular-portal/-/merge_requests/3524#note_240930", "![image.png](/uploads/7edd216dbfe36d52c98bc0829e32b665/image.png)")</f>
        <v/>
      </c>
      <c r="L215" t="inlineStr">
        <is>
          <t>2025-07-23 16:56:57.645 IST</t>
        </is>
      </c>
      <c r="M215" t="inlineStr">
        <is>
          <t>Soundariya B</t>
        </is>
      </c>
      <c r="N215" t="inlineStr">
        <is>
          <t>Yes</t>
        </is>
      </c>
      <c r="O215" t="inlineStr">
        <is>
          <t>Yes</t>
        </is>
      </c>
      <c r="P215" t="inlineStr">
        <is>
          <t>Soundariya B</t>
        </is>
      </c>
      <c r="Q215" t="inlineStr">
        <is>
          <t>Bad</t>
        </is>
      </c>
    </row>
    <row r="216">
      <c r="A216" t="inlineStr">
        <is>
          <t>shreya.v</t>
        </is>
      </c>
      <c r="B216" t="inlineStr">
        <is>
          <t>Shreya Ved</t>
        </is>
      </c>
      <c r="C216" t="inlineStr">
        <is>
          <t>shreya.v@osmosys.co</t>
        </is>
      </c>
      <c r="D216" t="inlineStr">
        <is>
          <t>incident-reporter</t>
        </is>
      </c>
      <c r="E216">
        <f>HYPERLINK("http://gitlab.osmosys.co/incident-reporter/incident-reporter-angular-portal", "OQSHA Portal")</f>
        <v/>
      </c>
      <c r="F216">
        <f>HYPERLINK("http://gitlab.osmosys.co/incident-reporter/incident-reporter-angular-portal/-/merge_requests/3524", "feat: hide similar incident detection code on portal")</f>
        <v/>
      </c>
      <c r="G216" t="inlineStr">
        <is>
          <t>feat/remove-similar-incident</t>
        </is>
      </c>
      <c r="H216" t="inlineStr">
        <is>
          <t>sprint-18</t>
        </is>
      </c>
      <c r="I216" t="inlineStr">
        <is>
          <t>merged</t>
        </is>
      </c>
      <c r="J216" t="inlineStr">
        <is>
          <t>f9562a615fd3f7761315d050da86b52462659f36</t>
        </is>
      </c>
      <c r="K216">
        <f>HYPERLINK("http://gitlab.osmosys.co/incident-reporter/incident-reporter-angular-portal/-/merge_requests/3524#note_241681", "This thread changes is not there please check and fix it.")</f>
        <v/>
      </c>
      <c r="L216" t="inlineStr">
        <is>
          <t>2025-07-25 08:35:55.976 IST</t>
        </is>
      </c>
      <c r="M216" t="inlineStr">
        <is>
          <t>Soundariya B</t>
        </is>
      </c>
      <c r="N216" t="inlineStr">
        <is>
          <t>Yes</t>
        </is>
      </c>
      <c r="O216" t="inlineStr">
        <is>
          <t>Yes</t>
        </is>
      </c>
      <c r="P216" t="inlineStr">
        <is>
          <t>Soundariya B</t>
        </is>
      </c>
      <c r="Q216" t="inlineStr">
        <is>
          <t>Bad</t>
        </is>
      </c>
    </row>
    <row r="217">
      <c r="A217" t="inlineStr">
        <is>
          <t>shreya.v</t>
        </is>
      </c>
      <c r="B217" t="inlineStr">
        <is>
          <t>Shreya Ved</t>
        </is>
      </c>
      <c r="C217" t="inlineStr">
        <is>
          <t>shreya.v@osmosys.co</t>
        </is>
      </c>
      <c r="D217" t="inlineStr">
        <is>
          <t>incident-reporter</t>
        </is>
      </c>
      <c r="E217">
        <f>HYPERLINK("http://gitlab.osmosys.co/incident-reporter/incident-reporter-angular-portal", "OQSHA Portal")</f>
        <v/>
      </c>
      <c r="F217">
        <f>HYPERLINK("http://gitlab.osmosys.co/incident-reporter/incident-reporter-angular-portal/-/merge_requests/3524", "feat: hide similar incident detection code on portal")</f>
        <v/>
      </c>
      <c r="G217" t="inlineStr">
        <is>
          <t>feat/remove-similar-incident</t>
        </is>
      </c>
      <c r="H217" t="inlineStr">
        <is>
          <t>sprint-18</t>
        </is>
      </c>
      <c r="I217" t="inlineStr">
        <is>
          <t>merged</t>
        </is>
      </c>
      <c r="J217" t="inlineStr">
        <is>
          <t>f9562a615fd3f7761315d050da86b52462659f36</t>
        </is>
      </c>
      <c r="K217">
        <f>HYPERLINK("http://gitlab.osmosys.co/incident-reporter/incident-reporter-angular-portal/-/merge_requests/3524#note_241871", "I think her comment is in pending and posted properly so that I can't see from my end but based on the task comment - https://pinestem.com/dashboard.html#/tasks/quick/INRT-4181/details/?companyId=453&amp;isPrevNext=1&amp;cmntID=1074579 and I checked yes the code is removed so it is not there as SS is not updated on PR so this confusion is creating so please next time add the updated SS.
CC: @shreya.v @RajKumar")</f>
        <v/>
      </c>
      <c r="L217" t="inlineStr">
        <is>
          <t>2025-07-25 16:01:51.080 IST</t>
        </is>
      </c>
      <c r="M217" t="inlineStr">
        <is>
          <t>Soundariya B</t>
        </is>
      </c>
      <c r="N217" t="inlineStr">
        <is>
          <t>Yes</t>
        </is>
      </c>
      <c r="O217" t="inlineStr">
        <is>
          <t>Yes</t>
        </is>
      </c>
      <c r="P217" t="inlineStr">
        <is>
          <t>Soundariya B</t>
        </is>
      </c>
      <c r="Q217" t="inlineStr">
        <is>
          <t>Bad</t>
        </is>
      </c>
    </row>
    <row r="218">
      <c r="A218" t="inlineStr">
        <is>
          <t>shreya.v</t>
        </is>
      </c>
      <c r="B218" t="inlineStr">
        <is>
          <t>Shreya Ved</t>
        </is>
      </c>
      <c r="C218" t="inlineStr">
        <is>
          <t>shreya.v@osmosys.co</t>
        </is>
      </c>
      <c r="D218" t="inlineStr">
        <is>
          <t>incident-reporter</t>
        </is>
      </c>
      <c r="E218">
        <f>HYPERLINK("http://gitlab.osmosys.co/incident-reporter/incident-reporter-angular-portal", "OQSHA Portal")</f>
        <v/>
      </c>
      <c r="F218">
        <f>HYPERLINK("http://gitlab.osmosys.co/incident-reporter/incident-reporter-angular-portal/-/merge_requests/3524", "feat: hide similar incident detection code on portal")</f>
        <v/>
      </c>
      <c r="G218" t="inlineStr">
        <is>
          <t>feat/remove-similar-incident</t>
        </is>
      </c>
      <c r="H218" t="inlineStr">
        <is>
          <t>sprint-18</t>
        </is>
      </c>
      <c r="I218" t="inlineStr">
        <is>
          <t>merged</t>
        </is>
      </c>
      <c r="J218" t="inlineStr">
        <is>
          <t>24bbf856d0c74d55d11832b2bdb260acfddfed42</t>
        </is>
      </c>
      <c r="K218">
        <f>HYPERLINK("http://gitlab.osmosys.co/incident-reporter/incident-reporter-angular-portal/-/merge_requests/3524#note_240931", "* Can you attach the working video of this PR changes in that these cases must be added and in sheet as well:
  * Test with select/unselect any other col so it can be verify the other column data is not distrubed
  * Test with export while exporting that column must not be there
![image.png](/uploads/e0bda642a8538df2793405e2754b57ca/image.png)")</f>
        <v/>
      </c>
      <c r="L218" t="inlineStr">
        <is>
          <t>2025-07-23 16:56:57.672 IST</t>
        </is>
      </c>
      <c r="M218" t="inlineStr">
        <is>
          <t>Soundariya B</t>
        </is>
      </c>
      <c r="N218" t="inlineStr">
        <is>
          <t>Yes</t>
        </is>
      </c>
      <c r="O218" t="inlineStr">
        <is>
          <t>Yes</t>
        </is>
      </c>
      <c r="P218" t="inlineStr">
        <is>
          <t>Soundariya B</t>
        </is>
      </c>
      <c r="Q218" t="inlineStr">
        <is>
          <t>Bad</t>
        </is>
      </c>
    </row>
    <row r="219">
      <c r="A219" t="inlineStr">
        <is>
          <t>shreya.v</t>
        </is>
      </c>
      <c r="B219" t="inlineStr">
        <is>
          <t>Shreya Ved</t>
        </is>
      </c>
      <c r="C219" t="inlineStr">
        <is>
          <t>shreya.v@osmosys.co</t>
        </is>
      </c>
      <c r="D219" t="inlineStr">
        <is>
          <t>incident-reporter</t>
        </is>
      </c>
      <c r="E219">
        <f>HYPERLINK("http://gitlab.osmosys.co/incident-reporter/incident-reporter-angular-portal", "OQSHA Portal")</f>
        <v/>
      </c>
      <c r="F219">
        <f>HYPERLINK("http://gitlab.osmosys.co/incident-reporter/incident-reporter-angular-portal/-/merge_requests/3524", "feat: hide similar incident detection code on portal")</f>
        <v/>
      </c>
      <c r="G219" t="inlineStr">
        <is>
          <t>feat/remove-similar-incident</t>
        </is>
      </c>
      <c r="H219" t="inlineStr">
        <is>
          <t>sprint-18</t>
        </is>
      </c>
      <c r="I219" t="inlineStr">
        <is>
          <t>merged</t>
        </is>
      </c>
      <c r="J219" t="inlineStr">
        <is>
          <t>24bbf856d0c74d55d11832b2bdb260acfddfed42</t>
        </is>
      </c>
      <c r="K219">
        <f>HYPERLINK("http://gitlab.osmosys.co/incident-reporter/incident-reporter-angular-portal/-/merge_requests/3524#note_241606", "done")</f>
        <v/>
      </c>
      <c r="L219" t="inlineStr">
        <is>
          <t>2025-07-24 21:49:46.286 IST</t>
        </is>
      </c>
      <c r="M219" t="inlineStr">
        <is>
          <t>Shreya Ved</t>
        </is>
      </c>
      <c r="N219" t="inlineStr">
        <is>
          <t>No</t>
        </is>
      </c>
      <c r="O219" t="inlineStr">
        <is>
          <t>Yes</t>
        </is>
      </c>
      <c r="P219" t="inlineStr">
        <is>
          <t>Soundariya B</t>
        </is>
      </c>
      <c r="Q219" t="inlineStr">
        <is>
          <t>Bad</t>
        </is>
      </c>
    </row>
    <row r="220">
      <c r="A220" t="inlineStr">
        <is>
          <t>shreya.v</t>
        </is>
      </c>
      <c r="B220" t="inlineStr">
        <is>
          <t>Shreya Ved</t>
        </is>
      </c>
      <c r="C220" t="inlineStr">
        <is>
          <t>shreya.v@osmosys.co</t>
        </is>
      </c>
      <c r="D220" t="inlineStr">
        <is>
          <t>incident-reporter</t>
        </is>
      </c>
      <c r="E220">
        <f>HYPERLINK("http://gitlab.osmosys.co/incident-reporter/incident-reporter-angular-portal", "OQSHA Portal")</f>
        <v/>
      </c>
      <c r="F220">
        <f>HYPERLINK("http://gitlab.osmosys.co/incident-reporter/incident-reporter-angular-portal/-/merge_requests/3524", "feat: hide similar incident detection code on portal")</f>
        <v/>
      </c>
      <c r="G220" t="inlineStr">
        <is>
          <t>feat/remove-similar-incident</t>
        </is>
      </c>
      <c r="H220" t="inlineStr">
        <is>
          <t>sprint-18</t>
        </is>
      </c>
      <c r="I220" t="inlineStr">
        <is>
          <t>merged</t>
        </is>
      </c>
      <c r="J220" t="inlineStr">
        <is>
          <t>4b6bf74da1f8a0dd08697858a2b559e578d7b74c</t>
        </is>
      </c>
      <c r="K220">
        <f>HYPERLINK("http://gitlab.osmosys.co/incident-reporter/incident-reporter-angular-portal/-/merge_requests/3524#note_240932", "Raising PR at once here for all files of this PR - Remove all the commented code from this file if needed then will get from this commit or PR")</f>
        <v/>
      </c>
      <c r="L220" t="inlineStr">
        <is>
          <t>2025-07-23 16:56:57.752 IST</t>
        </is>
      </c>
      <c r="M220" t="inlineStr">
        <is>
          <t>Soundariya B</t>
        </is>
      </c>
      <c r="N220" t="inlineStr">
        <is>
          <t>Yes</t>
        </is>
      </c>
      <c r="O220" t="inlineStr">
        <is>
          <t>Yes</t>
        </is>
      </c>
      <c r="P220" t="inlineStr">
        <is>
          <t>Soundariya B</t>
        </is>
      </c>
      <c r="Q220" t="inlineStr">
        <is>
          <t>Bad</t>
        </is>
      </c>
    </row>
    <row r="221">
      <c r="A221" t="inlineStr">
        <is>
          <t>shreya.v</t>
        </is>
      </c>
      <c r="B221" t="inlineStr">
        <is>
          <t>Shreya Ved</t>
        </is>
      </c>
      <c r="C221" t="inlineStr">
        <is>
          <t>shreya.v@osmosys.co</t>
        </is>
      </c>
      <c r="D221" t="inlineStr">
        <is>
          <t>incident-reporter</t>
        </is>
      </c>
      <c r="E221">
        <f>HYPERLINK("http://gitlab.osmosys.co/incident-reporter/incident-reporter-angular-portal", "OQSHA Portal")</f>
        <v/>
      </c>
      <c r="F221">
        <f>HYPERLINK("http://gitlab.osmosys.co/incident-reporter/incident-reporter-angular-portal/-/merge_requests/3524", "feat: hide similar incident detection code on portal")</f>
        <v/>
      </c>
      <c r="G221" t="inlineStr">
        <is>
          <t>feat/remove-similar-incident</t>
        </is>
      </c>
      <c r="H221" t="inlineStr">
        <is>
          <t>sprint-18</t>
        </is>
      </c>
      <c r="I221" t="inlineStr">
        <is>
          <t>merged</t>
        </is>
      </c>
      <c r="J221" t="inlineStr">
        <is>
          <t>4b6bf74da1f8a0dd08697858a2b559e578d7b74c</t>
        </is>
      </c>
      <c r="K221">
        <f>HYPERLINK("http://gitlab.osmosys.co/incident-reporter/incident-reporter-angular-portal/-/merge_requests/3524#note_241508", "ok")</f>
        <v/>
      </c>
      <c r="L221" t="inlineStr">
        <is>
          <t>2025-07-24 18:16:16.261 IST</t>
        </is>
      </c>
      <c r="M221" t="inlineStr">
        <is>
          <t>Shreya Ved</t>
        </is>
      </c>
      <c r="N221" t="inlineStr">
        <is>
          <t>No</t>
        </is>
      </c>
      <c r="O221" t="inlineStr">
        <is>
          <t>Yes</t>
        </is>
      </c>
      <c r="P221" t="inlineStr">
        <is>
          <t>Soundariya B</t>
        </is>
      </c>
      <c r="Q221" t="inlineStr">
        <is>
          <t>Bad</t>
        </is>
      </c>
    </row>
    <row r="222">
      <c r="A222" t="inlineStr">
        <is>
          <t>shreya.v</t>
        </is>
      </c>
      <c r="B222" t="inlineStr">
        <is>
          <t>Shreya Ved</t>
        </is>
      </c>
      <c r="C222" t="inlineStr">
        <is>
          <t>shreya.v@osmosys.co</t>
        </is>
      </c>
      <c r="D222" t="inlineStr">
        <is>
          <t>incident-reporter</t>
        </is>
      </c>
      <c r="E222">
        <f>HYPERLINK("http://gitlab.osmosys.co/incident-reporter/incident-reporter-angular-portal", "OQSHA Portal")</f>
        <v/>
      </c>
      <c r="F222">
        <f>HYPERLINK("http://gitlab.osmosys.co/incident-reporter/incident-reporter-angular-portal/-/merge_requests/3524", "feat: hide similar incident detection code on portal")</f>
        <v/>
      </c>
      <c r="G222" t="inlineStr">
        <is>
          <t>feat/remove-similar-incident</t>
        </is>
      </c>
      <c r="H222" t="inlineStr">
        <is>
          <t>sprint-18</t>
        </is>
      </c>
      <c r="I222" t="inlineStr">
        <is>
          <t>merged</t>
        </is>
      </c>
      <c r="J222" t="inlineStr">
        <is>
          <t>b2465bb8382c6feb4cfb2e2df1ff890c85c41711</t>
        </is>
      </c>
      <c r="K222">
        <f>HYPERLINK("http://gitlab.osmosys.co/incident-reporter/incident-reporter-angular-portal/-/merge_requests/3524#note_240933", "Remove this")</f>
        <v/>
      </c>
      <c r="L222" t="inlineStr">
        <is>
          <t>2025-07-23 16:56:57.846 IST</t>
        </is>
      </c>
      <c r="M222" t="inlineStr">
        <is>
          <t>Soundariya B</t>
        </is>
      </c>
      <c r="N222" t="inlineStr">
        <is>
          <t>Yes</t>
        </is>
      </c>
      <c r="O222" t="inlineStr">
        <is>
          <t>Yes</t>
        </is>
      </c>
      <c r="P222" t="inlineStr">
        <is>
          <t>Soundariya B</t>
        </is>
      </c>
      <c r="Q222" t="inlineStr">
        <is>
          <t>Bad</t>
        </is>
      </c>
    </row>
    <row r="223">
      <c r="A223" t="inlineStr">
        <is>
          <t>shreya.v</t>
        </is>
      </c>
      <c r="B223" t="inlineStr">
        <is>
          <t>Shreya Ved</t>
        </is>
      </c>
      <c r="C223" t="inlineStr">
        <is>
          <t>shreya.v@osmosys.co</t>
        </is>
      </c>
      <c r="D223" t="inlineStr">
        <is>
          <t>incident-reporter</t>
        </is>
      </c>
      <c r="E223">
        <f>HYPERLINK("http://gitlab.osmosys.co/incident-reporter/incident-reporter-angular-portal", "OQSHA Portal")</f>
        <v/>
      </c>
      <c r="F223">
        <f>HYPERLINK("http://gitlab.osmosys.co/incident-reporter/incident-reporter-angular-portal/-/merge_requests/3524", "feat: hide similar incident detection code on portal")</f>
        <v/>
      </c>
      <c r="G223" t="inlineStr">
        <is>
          <t>feat/remove-similar-incident</t>
        </is>
      </c>
      <c r="H223" t="inlineStr">
        <is>
          <t>sprint-18</t>
        </is>
      </c>
      <c r="I223" t="inlineStr">
        <is>
          <t>merged</t>
        </is>
      </c>
      <c r="J223" t="inlineStr">
        <is>
          <t>b2465bb8382c6feb4cfb2e2df1ff890c85c41711</t>
        </is>
      </c>
      <c r="K223">
        <f>HYPERLINK("http://gitlab.osmosys.co/incident-reporter/incident-reporter-angular-portal/-/merge_requests/3524#note_241509", "ok")</f>
        <v/>
      </c>
      <c r="L223" t="inlineStr">
        <is>
          <t>2025-07-24 18:16:58.377 IST</t>
        </is>
      </c>
      <c r="M223" t="inlineStr">
        <is>
          <t>Shreya Ved</t>
        </is>
      </c>
      <c r="N223" t="inlineStr">
        <is>
          <t>No</t>
        </is>
      </c>
      <c r="O223" t="inlineStr">
        <is>
          <t>Yes</t>
        </is>
      </c>
      <c r="P223" t="inlineStr">
        <is>
          <t>Soundariya B</t>
        </is>
      </c>
      <c r="Q223" t="inlineStr">
        <is>
          <t>Bad</t>
        </is>
      </c>
    </row>
    <row r="224">
      <c r="A224" t="inlineStr">
        <is>
          <t>shreya.v</t>
        </is>
      </c>
      <c r="B224" t="inlineStr">
        <is>
          <t>Shreya Ved</t>
        </is>
      </c>
      <c r="C224" t="inlineStr">
        <is>
          <t>shreya.v@osmosys.co</t>
        </is>
      </c>
      <c r="D224" t="inlineStr">
        <is>
          <t>incident-reporter</t>
        </is>
      </c>
      <c r="E224">
        <f>HYPERLINK("http://gitlab.osmosys.co/incident-reporter/incident-reporter-angular-portal", "OQSHA Portal")</f>
        <v/>
      </c>
      <c r="F224">
        <f>HYPERLINK("http://gitlab.osmosys.co/incident-reporter/incident-reporter-angular-portal/-/merge_requests/3524", "feat: hide similar incident detection code on portal")</f>
        <v/>
      </c>
      <c r="G224" t="inlineStr">
        <is>
          <t>feat/remove-similar-incident</t>
        </is>
      </c>
      <c r="H224" t="inlineStr">
        <is>
          <t>sprint-18</t>
        </is>
      </c>
      <c r="I224" t="inlineStr">
        <is>
          <t>merged</t>
        </is>
      </c>
      <c r="J224" t="inlineStr">
        <is>
          <t>9da275c85c1489de5a6dd1d380a34d212b8bf35b</t>
        </is>
      </c>
      <c r="K224">
        <f>HYPERLINK("http://gitlab.osmosys.co/incident-reporter/incident-reporter-angular-portal/-/merge_requests/3524#note_240934", "Related similarIncident code/logic/functions/methods etc please remove it from TS as well as not required now")</f>
        <v/>
      </c>
      <c r="L224" t="inlineStr">
        <is>
          <t>2025-07-23 16:56:57.921 IST</t>
        </is>
      </c>
      <c r="M224" t="inlineStr">
        <is>
          <t>Soundariya B</t>
        </is>
      </c>
      <c r="N224" t="inlineStr">
        <is>
          <t>Yes</t>
        </is>
      </c>
      <c r="O224" t="inlineStr">
        <is>
          <t>Yes</t>
        </is>
      </c>
      <c r="P224" t="inlineStr">
        <is>
          <t>Soundariya B</t>
        </is>
      </c>
      <c r="Q224" t="inlineStr">
        <is>
          <t>Bad</t>
        </is>
      </c>
    </row>
    <row r="225">
      <c r="A225" t="inlineStr">
        <is>
          <t>shreya.v</t>
        </is>
      </c>
      <c r="B225" t="inlineStr">
        <is>
          <t>Shreya Ved</t>
        </is>
      </c>
      <c r="C225" t="inlineStr">
        <is>
          <t>shreya.v@osmosys.co</t>
        </is>
      </c>
      <c r="D225" t="inlineStr">
        <is>
          <t>incident-reporter</t>
        </is>
      </c>
      <c r="E225">
        <f>HYPERLINK("http://gitlab.osmosys.co/incident-reporter/incident-reporter-angular-portal", "OQSHA Portal")</f>
        <v/>
      </c>
      <c r="F225">
        <f>HYPERLINK("http://gitlab.osmosys.co/incident-reporter/incident-reporter-angular-portal/-/merge_requests/3524", "feat: hide similar incident detection code on portal")</f>
        <v/>
      </c>
      <c r="G225" t="inlineStr">
        <is>
          <t>feat/remove-similar-incident</t>
        </is>
      </c>
      <c r="H225" t="inlineStr">
        <is>
          <t>sprint-18</t>
        </is>
      </c>
      <c r="I225" t="inlineStr">
        <is>
          <t>merged</t>
        </is>
      </c>
      <c r="J225" t="inlineStr">
        <is>
          <t>9da275c85c1489de5a6dd1d380a34d212b8bf35b</t>
        </is>
      </c>
      <c r="K225">
        <f>HYPERLINK("http://gitlab.osmosys.co/incident-reporter/incident-reporter-angular-portal/-/merge_requests/3524#note_241510", "ok")</f>
        <v/>
      </c>
      <c r="L225" t="inlineStr">
        <is>
          <t>2025-07-24 18:17:28.477 IST</t>
        </is>
      </c>
      <c r="M225" t="inlineStr">
        <is>
          <t>Shreya Ved</t>
        </is>
      </c>
      <c r="N225" t="inlineStr">
        <is>
          <t>No</t>
        </is>
      </c>
      <c r="O225" t="inlineStr">
        <is>
          <t>Yes</t>
        </is>
      </c>
      <c r="P225" t="inlineStr">
        <is>
          <t>Soundariya B</t>
        </is>
      </c>
      <c r="Q225" t="inlineStr">
        <is>
          <t>Bad</t>
        </is>
      </c>
    </row>
    <row r="226">
      <c r="A226" t="inlineStr">
        <is>
          <t>shreya.v</t>
        </is>
      </c>
      <c r="B226" t="inlineStr">
        <is>
          <t>Shreya Ved</t>
        </is>
      </c>
      <c r="C226" t="inlineStr">
        <is>
          <t>shreya.v@osmosys.co</t>
        </is>
      </c>
      <c r="D226" t="inlineStr">
        <is>
          <t>incident-reporter</t>
        </is>
      </c>
      <c r="E226">
        <f>HYPERLINK("http://gitlab.osmosys.co/incident-reporter/incident-reporter-angular-portal", "OQSHA Portal")</f>
        <v/>
      </c>
      <c r="F226">
        <f>HYPERLINK("http://gitlab.osmosys.co/incident-reporter/incident-reporter-angular-portal/-/merge_requests/3519", "feat: add all column as visible in tickets and inspection")</f>
        <v/>
      </c>
      <c r="G226" t="inlineStr">
        <is>
          <t>feat/colvis-visibility</t>
        </is>
      </c>
      <c r="H226" t="inlineStr">
        <is>
          <t>sprint-18</t>
        </is>
      </c>
      <c r="I226" t="inlineStr">
        <is>
          <t>opened</t>
        </is>
      </c>
      <c r="J226" t="inlineStr">
        <is>
          <t>b5d3ec96f7d4c5781deb23b6a97e59494448ff94</t>
        </is>
      </c>
      <c r="K226">
        <f>HYPERLINK("http://gitlab.osmosys.co/incident-reporter/incident-reporter-angular-portal/-/merge_requests/3519#note_241040", "isModuleEnabled. This is required because a few columns and data are showing based on module accessibility so please take about this")</f>
        <v/>
      </c>
      <c r="L226" t="inlineStr">
        <is>
          <t>2025-07-23 19:12:05.161 IST</t>
        </is>
      </c>
      <c r="M226" t="inlineStr">
        <is>
          <t>Soundariya B</t>
        </is>
      </c>
      <c r="N226" t="inlineStr">
        <is>
          <t>Yes</t>
        </is>
      </c>
      <c r="O226" t="inlineStr">
        <is>
          <t>Yes</t>
        </is>
      </c>
      <c r="P226" t="inlineStr">
        <is>
          <t>Soundariya B</t>
        </is>
      </c>
      <c r="Q226" t="inlineStr">
        <is>
          <t>Neutral</t>
        </is>
      </c>
    </row>
    <row r="227">
      <c r="A227" t="inlineStr">
        <is>
          <t>shreya.v</t>
        </is>
      </c>
      <c r="B227" t="inlineStr">
        <is>
          <t>Shreya Ved</t>
        </is>
      </c>
      <c r="C227" t="inlineStr">
        <is>
          <t>shreya.v@osmosys.co</t>
        </is>
      </c>
      <c r="D227" t="inlineStr">
        <is>
          <t>incident-reporter</t>
        </is>
      </c>
      <c r="E227">
        <f>HYPERLINK("http://gitlab.osmosys.co/incident-reporter/incident-reporter-angular-portal", "OQSHA Portal")</f>
        <v/>
      </c>
      <c r="F227">
        <f>HYPERLINK("http://gitlab.osmosys.co/incident-reporter/incident-reporter-angular-portal/-/merge_requests/3519", "feat: add all column as visible in tickets and inspection")</f>
        <v/>
      </c>
      <c r="G227" t="inlineStr">
        <is>
          <t>feat/colvis-visibility</t>
        </is>
      </c>
      <c r="H227" t="inlineStr">
        <is>
          <t>sprint-18</t>
        </is>
      </c>
      <c r="I227" t="inlineStr">
        <is>
          <t>opened</t>
        </is>
      </c>
      <c r="J227" t="inlineStr">
        <is>
          <t>b5d3ec96f7d4c5781deb23b6a97e59494448ff94</t>
        </is>
      </c>
      <c r="K227">
        <f>HYPERLINK("http://gitlab.osmosys.co/incident-reporter/incident-reporter-angular-portal/-/merge_requests/3519#note_241119", "Tickets in organization where department module is not enabled:-
![tickets_departmentNotenabled](/uploads/da150f930edfd32f8833ff2fdba66358/tickets_departmentNotenabled.png){width=1010 height=516}
Tickets where department is enabled:-
![tcikets_aparna](/uploads/ecb2e6ab92319be7c420247cb2b67253/tcikets_aparna.png){width=974 height=515}
Cant remove comments because ng lint does not allow continue; to be used.")</f>
        <v/>
      </c>
      <c r="L227" t="inlineStr">
        <is>
          <t>2025-07-23 22:00:09.291 IST</t>
        </is>
      </c>
      <c r="M227" t="inlineStr">
        <is>
          <t>Shreya Ved</t>
        </is>
      </c>
      <c r="N227" t="inlineStr">
        <is>
          <t>No</t>
        </is>
      </c>
      <c r="O227" t="inlineStr">
        <is>
          <t>Yes</t>
        </is>
      </c>
      <c r="P227" t="inlineStr">
        <is>
          <t>Soundariya B</t>
        </is>
      </c>
      <c r="Q227" t="inlineStr">
        <is>
          <t>Neutral</t>
        </is>
      </c>
    </row>
    <row r="228">
      <c r="A228" t="inlineStr">
        <is>
          <t>shreya.v</t>
        </is>
      </c>
      <c r="B228" t="inlineStr">
        <is>
          <t>Shreya Ved</t>
        </is>
      </c>
      <c r="C228" t="inlineStr">
        <is>
          <t>shreya.v@osmosys.co</t>
        </is>
      </c>
      <c r="D228" t="inlineStr">
        <is>
          <t>incident-reporter</t>
        </is>
      </c>
      <c r="E228">
        <f>HYPERLINK("http://gitlab.osmosys.co/incident-reporter/incident-reporter-angular-portal", "OQSHA Portal")</f>
        <v/>
      </c>
      <c r="F228">
        <f>HYPERLINK("http://gitlab.osmosys.co/incident-reporter/incident-reporter-angular-portal/-/merge_requests/3519", "feat: add all column as visible in tickets and inspection")</f>
        <v/>
      </c>
      <c r="G228" t="inlineStr">
        <is>
          <t>feat/colvis-visibility</t>
        </is>
      </c>
      <c r="H228" t="inlineStr">
        <is>
          <t>sprint-18</t>
        </is>
      </c>
      <c r="I228" t="inlineStr">
        <is>
          <t>opened</t>
        </is>
      </c>
      <c r="J228" t="inlineStr">
        <is>
          <t>b5d3ec96f7d4c5781deb23b6a97e59494448ff94</t>
        </is>
      </c>
      <c r="K228">
        <f>HYPERLINK("http://gitlab.osmosys.co/incident-reporter/incident-reporter-angular-portal/-/merge_requests/3519#note_241191", "Raised the thread related this")</f>
        <v/>
      </c>
      <c r="L228" t="inlineStr">
        <is>
          <t>2025-07-24 04:36:13.558 IST</t>
        </is>
      </c>
      <c r="M228" t="inlineStr">
        <is>
          <t>Soundariya B</t>
        </is>
      </c>
      <c r="N228" t="inlineStr">
        <is>
          <t>Yes</t>
        </is>
      </c>
      <c r="O228" t="inlineStr">
        <is>
          <t>Yes</t>
        </is>
      </c>
      <c r="P228" t="inlineStr">
        <is>
          <t>Soundariya B</t>
        </is>
      </c>
      <c r="Q228" t="inlineStr">
        <is>
          <t>Neutral</t>
        </is>
      </c>
    </row>
    <row r="229">
      <c r="A229" t="inlineStr">
        <is>
          <t>shreya.v</t>
        </is>
      </c>
      <c r="B229" t="inlineStr">
        <is>
          <t>Shreya Ved</t>
        </is>
      </c>
      <c r="C229" t="inlineStr">
        <is>
          <t>shreya.v@osmosys.co</t>
        </is>
      </c>
      <c r="D229" t="inlineStr">
        <is>
          <t>incident-reporter</t>
        </is>
      </c>
      <c r="E229">
        <f>HYPERLINK("http://gitlab.osmosys.co/incident-reporter/incident-reporter-angular-portal", "OQSHA Portal")</f>
        <v/>
      </c>
      <c r="F229">
        <f>HYPERLINK("http://gitlab.osmosys.co/incident-reporter/incident-reporter-angular-portal/-/merge_requests/3519", "feat: add all column as visible in tickets and inspection")</f>
        <v/>
      </c>
      <c r="G229" t="inlineStr">
        <is>
          <t>feat/colvis-visibility</t>
        </is>
      </c>
      <c r="H229" t="inlineStr">
        <is>
          <t>sprint-18</t>
        </is>
      </c>
      <c r="I229" t="inlineStr">
        <is>
          <t>opened</t>
        </is>
      </c>
      <c r="J229" t="inlineStr">
        <is>
          <t>d18cd42312c58e5016d1d5bf771cbcbddd6f21c2</t>
        </is>
      </c>
      <c r="K229">
        <f>HYPERLINK("http://gitlab.osmosys.co/incident-reporter/incident-reporter-angular-portal/-/merge_requests/3519#note_241192", "Improve and try this
```
const visibleColumns = this.colOrder.reduce&lt;number[]&gt;((acc, colName, i) =&gt; {
  const isTaskCountDisabled = colName === 'TaskCount' &amp;&amp; !this.isModuleEnabled('Tasks');
  const isDepartmentNameDisabled = colName === 'DepartmentName' &amp;&amp; !this.isModuleEnabled('Departments');
  if (!isTaskCountDisabled &amp;&amp; !isDepartmentNameDisabled) {
    acc.push(i);
  }
  return acc;
}, []);
```")</f>
        <v/>
      </c>
      <c r="L229" t="inlineStr">
        <is>
          <t>2025-07-24 04:36:17.001 IST</t>
        </is>
      </c>
      <c r="M229" t="inlineStr">
        <is>
          <t>Soundariya B</t>
        </is>
      </c>
      <c r="N229" t="inlineStr">
        <is>
          <t>Yes</t>
        </is>
      </c>
      <c r="O229" t="inlineStr">
        <is>
          <t>Yes</t>
        </is>
      </c>
      <c r="P229" t="inlineStr">
        <is>
          <t>Soundariya B</t>
        </is>
      </c>
      <c r="Q229" t="inlineStr">
        <is>
          <t>Neutral</t>
        </is>
      </c>
    </row>
    <row r="230">
      <c r="A230" t="inlineStr">
        <is>
          <t>shreya.v</t>
        </is>
      </c>
      <c r="B230" t="inlineStr">
        <is>
          <t>Shreya Ved</t>
        </is>
      </c>
      <c r="C230" t="inlineStr">
        <is>
          <t>shreya.v@osmosys.co</t>
        </is>
      </c>
      <c r="D230" t="inlineStr">
        <is>
          <t>incident-reporter</t>
        </is>
      </c>
      <c r="E230">
        <f>HYPERLINK("http://gitlab.osmosys.co/incident-reporter/incident-reporter-angular-portal", "OQSHA Portal")</f>
        <v/>
      </c>
      <c r="F230">
        <f>HYPERLINK("http://gitlab.osmosys.co/incident-reporter/incident-reporter-angular-portal/-/merge_requests/3519", "feat: add all column as visible in tickets and inspection")</f>
        <v/>
      </c>
      <c r="G230" t="inlineStr">
        <is>
          <t>feat/colvis-visibility</t>
        </is>
      </c>
      <c r="H230" t="inlineStr">
        <is>
          <t>sprint-18</t>
        </is>
      </c>
      <c r="I230" t="inlineStr">
        <is>
          <t>opened</t>
        </is>
      </c>
      <c r="J230" t="inlineStr">
        <is>
          <t>d18cd42312c58e5016d1d5bf771cbcbddd6f21c2</t>
        </is>
      </c>
      <c r="K230">
        <f>HYPERLINK("http://gitlab.osmosys.co/incident-reporter/incident-reporter-angular-portal/-/merge_requests/3519#note_241218", "Both are functionally equivalent
reduce is cleaner and more functional
for loop is clearer for debugging and easier for most devs to follow
Changed")</f>
        <v/>
      </c>
      <c r="L230" t="inlineStr">
        <is>
          <t>2025-07-24 10:32:29.548 IST</t>
        </is>
      </c>
      <c r="M230" t="inlineStr">
        <is>
          <t>Shreya Ved</t>
        </is>
      </c>
      <c r="N230" t="inlineStr">
        <is>
          <t>No</t>
        </is>
      </c>
      <c r="O230" t="inlineStr">
        <is>
          <t>Yes</t>
        </is>
      </c>
      <c r="P230" t="inlineStr">
        <is>
          <t>Soundariya B</t>
        </is>
      </c>
      <c r="Q230" t="inlineStr">
        <is>
          <t>Neutral</t>
        </is>
      </c>
    </row>
    <row r="231">
      <c r="A231" t="inlineStr">
        <is>
          <t>shreya.v</t>
        </is>
      </c>
      <c r="B231" t="inlineStr">
        <is>
          <t>Shreya Ved</t>
        </is>
      </c>
      <c r="C231" t="inlineStr">
        <is>
          <t>shreya.v@osmosys.co</t>
        </is>
      </c>
      <c r="D231" t="inlineStr">
        <is>
          <t>incident-reporter</t>
        </is>
      </c>
      <c r="E231">
        <f>HYPERLINK("http://gitlab.osmosys.co/incident-reporter/incident-reporter-angular-portal", "OQSHA Portal")</f>
        <v/>
      </c>
      <c r="F231">
        <f>HYPERLINK("http://gitlab.osmosys.co/incident-reporter/incident-reporter-angular-portal/-/merge_requests/3506", "fix: add moc uid column on moc list page")</f>
        <v/>
      </c>
      <c r="G231" t="inlineStr">
        <is>
          <t>fix/moc-uid</t>
        </is>
      </c>
      <c r="H231" t="inlineStr">
        <is>
          <t>sprint-17</t>
        </is>
      </c>
      <c r="I231" t="inlineStr">
        <is>
          <t>merged</t>
        </is>
      </c>
      <c r="J231" t="inlineStr"/>
      <c r="K231" t="inlineStr"/>
      <c r="L231" t="inlineStr"/>
      <c r="M231" t="inlineStr"/>
      <c r="N231" t="inlineStr"/>
      <c r="O231" t="inlineStr"/>
      <c r="P231" t="inlineStr"/>
      <c r="Q231" t="inlineStr"/>
    </row>
    <row r="232">
      <c r="A232" t="inlineStr">
        <is>
          <t>shreya.v</t>
        </is>
      </c>
      <c r="B232" t="inlineStr">
        <is>
          <t>Shreya Ved</t>
        </is>
      </c>
      <c r="C232" t="inlineStr">
        <is>
          <t>shreya.v@osmosys.co</t>
        </is>
      </c>
      <c r="D232" t="inlineStr">
        <is>
          <t>incident-reporter</t>
        </is>
      </c>
      <c r="E232">
        <f>HYPERLINK("http://gitlab.osmosys.co/incident-reporter/incident-reporter-angular-portal", "OQSHA Portal")</f>
        <v/>
      </c>
      <c r="F232">
        <f>HYPERLINK("http://gitlab.osmosys.co/incident-reporter/incident-reporter-angular-portal/-/merge_requests/3493", "fix: fix site id payload of attendance export")</f>
        <v/>
      </c>
      <c r="G232" t="inlineStr">
        <is>
          <t>fix/attendance-csv</t>
        </is>
      </c>
      <c r="H232" t="inlineStr">
        <is>
          <t>sprint-17</t>
        </is>
      </c>
      <c r="I232" t="inlineStr">
        <is>
          <t>merged</t>
        </is>
      </c>
      <c r="J232" t="inlineStr"/>
      <c r="K232" t="inlineStr"/>
      <c r="L232" t="inlineStr"/>
      <c r="M232" t="inlineStr"/>
      <c r="N232" t="inlineStr"/>
      <c r="O232" t="inlineStr"/>
      <c r="P232" t="inlineStr"/>
      <c r="Q232" t="inlineStr"/>
    </row>
    <row r="233">
      <c r="A233" t="inlineStr">
        <is>
          <t>shreya.v</t>
        </is>
      </c>
      <c r="B233" t="inlineStr">
        <is>
          <t>Shreya Ved</t>
        </is>
      </c>
      <c r="C233" t="inlineStr">
        <is>
          <t>shreya.v@osmosys.co</t>
        </is>
      </c>
      <c r="D233" t="inlineStr">
        <is>
          <t>incident-reporter</t>
        </is>
      </c>
      <c r="E233">
        <f>HYPERLINK("http://gitlab.osmosys.co/incident-reporter/incident-reporter-angular-portal", "OQSHA Portal")</f>
        <v/>
      </c>
      <c r="F233">
        <f>HYPERLINK("http://gitlab.osmosys.co/incident-reporter/incident-reporter-angular-portal/-/merge_requests/3488", "fix: fix data table visibility in csv")</f>
        <v/>
      </c>
      <c r="G233" t="inlineStr">
        <is>
          <t>fix/moc-datatable</t>
        </is>
      </c>
      <c r="H233" t="inlineStr">
        <is>
          <t>sprint-17</t>
        </is>
      </c>
      <c r="I233" t="inlineStr">
        <is>
          <t>merged</t>
        </is>
      </c>
      <c r="J233" t="inlineStr"/>
      <c r="K233" t="inlineStr"/>
      <c r="L233" t="inlineStr"/>
      <c r="M233" t="inlineStr"/>
      <c r="N233" t="inlineStr"/>
      <c r="O233" t="inlineStr"/>
      <c r="P233" t="inlineStr"/>
      <c r="Q233" t="inlineStr"/>
    </row>
    <row r="234">
      <c r="A234" t="inlineStr">
        <is>
          <t>shreya.v</t>
        </is>
      </c>
      <c r="B234" t="inlineStr">
        <is>
          <t>Shreya Ved</t>
        </is>
      </c>
      <c r="C234" t="inlineStr">
        <is>
          <t>shreya.v@osmosys.co</t>
        </is>
      </c>
      <c r="D234" t="inlineStr">
        <is>
          <t>incident-reporter</t>
        </is>
      </c>
      <c r="E234">
        <f>HYPERLINK("http://gitlab.osmosys.co/incident-reporter/incident-reporter-angular-portal", "OQSHA Portal")</f>
        <v/>
      </c>
      <c r="F234">
        <f>HYPERLINK("http://gitlab.osmosys.co/incident-reporter/incident-reporter-angular-portal/-/merge_requests/3481", "fix: send date in payload on first load")</f>
        <v/>
      </c>
      <c r="G234" t="inlineStr">
        <is>
          <t>fix/moc-export</t>
        </is>
      </c>
      <c r="H234" t="inlineStr">
        <is>
          <t>sprint-17</t>
        </is>
      </c>
      <c r="I234" t="inlineStr">
        <is>
          <t>merged</t>
        </is>
      </c>
      <c r="J234" t="inlineStr"/>
      <c r="K234" t="inlineStr"/>
      <c r="L234" t="inlineStr"/>
      <c r="M234" t="inlineStr"/>
      <c r="N234" t="inlineStr"/>
      <c r="O234" t="inlineStr"/>
      <c r="P234" t="inlineStr"/>
      <c r="Q234" t="inlineStr"/>
    </row>
    <row r="235">
      <c r="A235" t="inlineStr">
        <is>
          <t>shreya.v</t>
        </is>
      </c>
      <c r="B235" t="inlineStr">
        <is>
          <t>Shreya Ved</t>
        </is>
      </c>
      <c r="C235" t="inlineStr">
        <is>
          <t>shreya.v@osmosys.co</t>
        </is>
      </c>
      <c r="D235" t="inlineStr">
        <is>
          <t>incident-reporter</t>
        </is>
      </c>
      <c r="E235">
        <f>HYPERLINK("http://gitlab.osmosys.co/incident-reporter/incident-reporter-angular-portal", "OQSHA Portal")</f>
        <v/>
      </c>
      <c r="F235">
        <f>HYPERLINK("http://gitlab.osmosys.co/incident-reporter/incident-reporter-angular-portal/-/merge_requests/3459", "fix: remove osha button")</f>
        <v/>
      </c>
      <c r="G235" t="inlineStr">
        <is>
          <t>fix/osha-btn-ticket</t>
        </is>
      </c>
      <c r="H235" t="inlineStr">
        <is>
          <t>sprint-17</t>
        </is>
      </c>
      <c r="I235" t="inlineStr">
        <is>
          <t>merged</t>
        </is>
      </c>
      <c r="J235" t="inlineStr">
        <is>
          <t>b9c3f35e22fde6277fedae40a45814702550b91a</t>
        </is>
      </c>
      <c r="K235">
        <f>HYPERLINK("http://gitlab.osmosys.co/incident-reporter/incident-reporter-angular-portal/-/merge_requests/3459#note_237196", "As button is renamed so the flag should also be name as - showOSHABtn")</f>
        <v/>
      </c>
      <c r="L235" t="inlineStr">
        <is>
          <t>2025-07-15 23:35:50.907 IST</t>
        </is>
      </c>
      <c r="M235" t="inlineStr">
        <is>
          <t>Soundariya B</t>
        </is>
      </c>
      <c r="N235" t="inlineStr">
        <is>
          <t>Yes</t>
        </is>
      </c>
      <c r="O235" t="inlineStr">
        <is>
          <t>Yes</t>
        </is>
      </c>
      <c r="P235" t="inlineStr">
        <is>
          <t>Soundariya B</t>
        </is>
      </c>
      <c r="Q235" t="inlineStr">
        <is>
          <t>Bad</t>
        </is>
      </c>
    </row>
    <row r="236">
      <c r="A236" t="inlineStr">
        <is>
          <t>shreya.v</t>
        </is>
      </c>
      <c r="B236" t="inlineStr">
        <is>
          <t>Shreya Ved</t>
        </is>
      </c>
      <c r="C236" t="inlineStr">
        <is>
          <t>shreya.v@osmosys.co</t>
        </is>
      </c>
      <c r="D236" t="inlineStr">
        <is>
          <t>incident-reporter</t>
        </is>
      </c>
      <c r="E236">
        <f>HYPERLINK("http://gitlab.osmosys.co/incident-reporter/incident-reporter-angular-portal", "OQSHA Portal")</f>
        <v/>
      </c>
      <c r="F236">
        <f>HYPERLINK("http://gitlab.osmosys.co/incident-reporter/incident-reporter-angular-portal/-/merge_requests/3459", "fix: remove osha button")</f>
        <v/>
      </c>
      <c r="G236" t="inlineStr">
        <is>
          <t>fix/osha-btn-ticket</t>
        </is>
      </c>
      <c r="H236" t="inlineStr">
        <is>
          <t>sprint-17</t>
        </is>
      </c>
      <c r="I236" t="inlineStr">
        <is>
          <t>merged</t>
        </is>
      </c>
      <c r="J236" t="inlineStr">
        <is>
          <t>b9c3f35e22fde6277fedae40a45814702550b91a</t>
        </is>
      </c>
      <c r="K236">
        <f>HYPERLINK("http://gitlab.osmosys.co/incident-reporter/incident-reporter-angular-portal/-/merge_requests/3459#note_237212", "ok")</f>
        <v/>
      </c>
      <c r="L236" t="inlineStr">
        <is>
          <t>2025-07-15 23:48:29.831 IST</t>
        </is>
      </c>
      <c r="M236" t="inlineStr">
        <is>
          <t>Shreya Ved</t>
        </is>
      </c>
      <c r="N236" t="inlineStr">
        <is>
          <t>No</t>
        </is>
      </c>
      <c r="O236" t="inlineStr">
        <is>
          <t>Yes</t>
        </is>
      </c>
      <c r="P236" t="inlineStr">
        <is>
          <t>Soundariya B</t>
        </is>
      </c>
      <c r="Q236" t="inlineStr">
        <is>
          <t>Bad</t>
        </is>
      </c>
    </row>
    <row r="237">
      <c r="A237" t="inlineStr">
        <is>
          <t>shreya.v</t>
        </is>
      </c>
      <c r="B237" t="inlineStr">
        <is>
          <t>Shreya Ved</t>
        </is>
      </c>
      <c r="C237" t="inlineStr">
        <is>
          <t>shreya.v@osmosys.co</t>
        </is>
      </c>
      <c r="D237" t="inlineStr">
        <is>
          <t>incident-reporter</t>
        </is>
      </c>
      <c r="E237">
        <f>HYPERLINK("http://gitlab.osmosys.co/incident-reporter/incident-reporter-angular-portal", "OQSHA Portal")</f>
        <v/>
      </c>
      <c r="F237">
        <f>HYPERLINK("http://gitlab.osmosys.co/incident-reporter/incident-reporter-angular-portal/-/merge_requests/3459", "fix: remove osha button")</f>
        <v/>
      </c>
      <c r="G237" t="inlineStr">
        <is>
          <t>fix/osha-btn-ticket</t>
        </is>
      </c>
      <c r="H237" t="inlineStr">
        <is>
          <t>sprint-17</t>
        </is>
      </c>
      <c r="I237" t="inlineStr">
        <is>
          <t>merged</t>
        </is>
      </c>
      <c r="J237" t="inlineStr">
        <is>
          <t>f81ebd15c2df6ba67ae5f3a67d8fa5643969656f</t>
        </is>
      </c>
      <c r="K237">
        <f>HYPERLINK("http://gitlab.osmosys.co/incident-reporter/incident-reporter-angular-portal/-/merge_requests/3459#note_237197", "As button is renamed so the button should also be name as - downloadOSHAReport")</f>
        <v/>
      </c>
      <c r="L237" t="inlineStr">
        <is>
          <t>2025-07-15 23:35:50.970 IST</t>
        </is>
      </c>
      <c r="M237" t="inlineStr">
        <is>
          <t>Soundariya B</t>
        </is>
      </c>
      <c r="N237" t="inlineStr">
        <is>
          <t>Yes</t>
        </is>
      </c>
      <c r="O237" t="inlineStr">
        <is>
          <t>Yes</t>
        </is>
      </c>
      <c r="P237" t="inlineStr">
        <is>
          <t>Soundariya B</t>
        </is>
      </c>
      <c r="Q237" t="inlineStr">
        <is>
          <t>Bad</t>
        </is>
      </c>
    </row>
    <row r="238">
      <c r="A238" t="inlineStr">
        <is>
          <t>shreya.v</t>
        </is>
      </c>
      <c r="B238" t="inlineStr">
        <is>
          <t>Shreya Ved</t>
        </is>
      </c>
      <c r="C238" t="inlineStr">
        <is>
          <t>shreya.v@osmosys.co</t>
        </is>
      </c>
      <c r="D238" t="inlineStr">
        <is>
          <t>incident-reporter</t>
        </is>
      </c>
      <c r="E238">
        <f>HYPERLINK("http://gitlab.osmosys.co/incident-reporter/incident-reporter-angular-portal", "OQSHA Portal")</f>
        <v/>
      </c>
      <c r="F238">
        <f>HYPERLINK("http://gitlab.osmosys.co/incident-reporter/incident-reporter-angular-portal/-/merge_requests/3459", "fix: remove osha button")</f>
        <v/>
      </c>
      <c r="G238" t="inlineStr">
        <is>
          <t>fix/osha-btn-ticket</t>
        </is>
      </c>
      <c r="H238" t="inlineStr">
        <is>
          <t>sprint-17</t>
        </is>
      </c>
      <c r="I238" t="inlineStr">
        <is>
          <t>merged</t>
        </is>
      </c>
      <c r="J238" t="inlineStr">
        <is>
          <t>f81ebd15c2df6ba67ae5f3a67d8fa5643969656f</t>
        </is>
      </c>
      <c r="K238">
        <f>HYPERLINK("http://gitlab.osmosys.co/incident-reporter/incident-reporter-angular-portal/-/merge_requests/3459#note_237213", "ok")</f>
        <v/>
      </c>
      <c r="L238" t="inlineStr">
        <is>
          <t>2025-07-15 23:48:35.156 IST</t>
        </is>
      </c>
      <c r="M238" t="inlineStr">
        <is>
          <t>Shreya Ved</t>
        </is>
      </c>
      <c r="N238" t="inlineStr">
        <is>
          <t>No</t>
        </is>
      </c>
      <c r="O238" t="inlineStr">
        <is>
          <t>Yes</t>
        </is>
      </c>
      <c r="P238" t="inlineStr">
        <is>
          <t>Soundariya B</t>
        </is>
      </c>
      <c r="Q238" t="inlineStr">
        <is>
          <t>Bad</t>
        </is>
      </c>
    </row>
    <row r="239">
      <c r="A239" t="inlineStr">
        <is>
          <t>shreya.v</t>
        </is>
      </c>
      <c r="B239" t="inlineStr">
        <is>
          <t>Shreya Ved</t>
        </is>
      </c>
      <c r="C239" t="inlineStr">
        <is>
          <t>shreya.v@osmosys.co</t>
        </is>
      </c>
      <c r="D239" t="inlineStr">
        <is>
          <t>incident-reporter</t>
        </is>
      </c>
      <c r="E239">
        <f>HYPERLINK("http://gitlab.osmosys.co/incident-reporter/incident-reporter-angular-portal", "OQSHA Portal")</f>
        <v/>
      </c>
      <c r="F239">
        <f>HYPERLINK("http://gitlab.osmosys.co/incident-reporter/incident-reporter-angular-portal/-/merge_requests/3459", "fix: remove osha button")</f>
        <v/>
      </c>
      <c r="G239" t="inlineStr">
        <is>
          <t>fix/osha-btn-ticket</t>
        </is>
      </c>
      <c r="H239" t="inlineStr">
        <is>
          <t>sprint-17</t>
        </is>
      </c>
      <c r="I239" t="inlineStr">
        <is>
          <t>merged</t>
        </is>
      </c>
      <c r="J239" t="inlineStr">
        <is>
          <t>1a427053f650d1ab46ff9f711e08779e0c74a10c</t>
        </is>
      </c>
      <c r="K239">
        <f>HYPERLINK("http://gitlab.osmosys.co/incident-reporter/incident-reporter-angular-portal/-/merge_requests/3459#note_237198", "Same here")</f>
        <v/>
      </c>
      <c r="L239" t="inlineStr">
        <is>
          <t>2025-07-15 23:35:51.064 IST</t>
        </is>
      </c>
      <c r="M239" t="inlineStr">
        <is>
          <t>Soundariya B</t>
        </is>
      </c>
      <c r="N239" t="inlineStr">
        <is>
          <t>Yes</t>
        </is>
      </c>
      <c r="O239" t="inlineStr">
        <is>
          <t>Yes</t>
        </is>
      </c>
      <c r="P239" t="inlineStr">
        <is>
          <t>Soundariya B</t>
        </is>
      </c>
      <c r="Q239" t="inlineStr">
        <is>
          <t>Neutral</t>
        </is>
      </c>
    </row>
    <row r="240">
      <c r="A240" t="inlineStr">
        <is>
          <t>shreya.v</t>
        </is>
      </c>
      <c r="B240" t="inlineStr">
        <is>
          <t>Shreya Ved</t>
        </is>
      </c>
      <c r="C240" t="inlineStr">
        <is>
          <t>shreya.v@osmosys.co</t>
        </is>
      </c>
      <c r="D240" t="inlineStr">
        <is>
          <t>incident-reporter</t>
        </is>
      </c>
      <c r="E240">
        <f>HYPERLINK("http://gitlab.osmosys.co/incident-reporter/incident-reporter-angular-portal", "OQSHA Portal")</f>
        <v/>
      </c>
      <c r="F240">
        <f>HYPERLINK("http://gitlab.osmosys.co/incident-reporter/incident-reporter-angular-portal/-/merge_requests/3459", "fix: remove osha button")</f>
        <v/>
      </c>
      <c r="G240" t="inlineStr">
        <is>
          <t>fix/osha-btn-ticket</t>
        </is>
      </c>
      <c r="H240" t="inlineStr">
        <is>
          <t>sprint-17</t>
        </is>
      </c>
      <c r="I240" t="inlineStr">
        <is>
          <t>merged</t>
        </is>
      </c>
      <c r="J240" t="inlineStr">
        <is>
          <t>1a427053f650d1ab46ff9f711e08779e0c74a10c</t>
        </is>
      </c>
      <c r="K240">
        <f>HYPERLINK("http://gitlab.osmosys.co/incident-reporter/incident-reporter-angular-portal/-/merge_requests/3459#note_237214", "ok")</f>
        <v/>
      </c>
      <c r="L240" t="inlineStr">
        <is>
          <t>2025-07-15 23:48:39.560 IST</t>
        </is>
      </c>
      <c r="M240" t="inlineStr">
        <is>
          <t>Shreya Ved</t>
        </is>
      </c>
      <c r="N240" t="inlineStr">
        <is>
          <t>No</t>
        </is>
      </c>
      <c r="O240" t="inlineStr">
        <is>
          <t>Yes</t>
        </is>
      </c>
      <c r="P240" t="inlineStr">
        <is>
          <t>Soundariya B</t>
        </is>
      </c>
      <c r="Q240" t="inlineStr">
        <is>
          <t>Neutral</t>
        </is>
      </c>
    </row>
    <row r="241">
      <c r="A241" t="inlineStr">
        <is>
          <t>shreya.v</t>
        </is>
      </c>
      <c r="B241" t="inlineStr">
        <is>
          <t>Shreya Ved</t>
        </is>
      </c>
      <c r="C241" t="inlineStr">
        <is>
          <t>shreya.v@osmosys.co</t>
        </is>
      </c>
      <c r="D241" t="inlineStr">
        <is>
          <t>incident-reporter</t>
        </is>
      </c>
      <c r="E241">
        <f>HYPERLINK("http://gitlab.osmosys.co/incident-reporter/incident-reporter-angular-portal", "OQSHA Portal")</f>
        <v/>
      </c>
      <c r="F241">
        <f>HYPERLINK("http://gitlab.osmosys.co/incident-reporter/incident-reporter-angular-portal/-/merge_requests/3459", "fix: remove osha button")</f>
        <v/>
      </c>
      <c r="G241" t="inlineStr">
        <is>
          <t>fix/osha-btn-ticket</t>
        </is>
      </c>
      <c r="H241" t="inlineStr">
        <is>
          <t>sprint-17</t>
        </is>
      </c>
      <c r="I241" t="inlineStr">
        <is>
          <t>merged</t>
        </is>
      </c>
      <c r="J241" t="inlineStr">
        <is>
          <t>b80b5d285ab0a34d01a39c35003710523a135335</t>
        </is>
      </c>
      <c r="K241">
        <f>HYPERLINK("http://gitlab.osmosys.co/incident-reporter/incident-reporter-angular-portal/-/merge_requests/3459#note_237216", "![image](/uploads/01dfad2cb84bfc0b3b2d5ed0ce88fc83/image.png){width=577 height=461}
These can be put in a single comment")</f>
        <v/>
      </c>
      <c r="L241" t="inlineStr">
        <is>
          <t>2025-07-15 23:51:01.055 IST</t>
        </is>
      </c>
      <c r="M241" t="inlineStr">
        <is>
          <t>Shreya Ved</t>
        </is>
      </c>
      <c r="N241" t="inlineStr">
        <is>
          <t>No</t>
        </is>
      </c>
      <c r="O241" t="inlineStr">
        <is>
          <t>No</t>
        </is>
      </c>
      <c r="P241" t="inlineStr"/>
      <c r="Q241" t="inlineStr">
        <is>
          <t>Neutral</t>
        </is>
      </c>
    </row>
    <row r="242">
      <c r="A242" t="inlineStr">
        <is>
          <t>shreya.v</t>
        </is>
      </c>
      <c r="B242" t="inlineStr">
        <is>
          <t>Shreya Ved</t>
        </is>
      </c>
      <c r="C242" t="inlineStr">
        <is>
          <t>shreya.v@osmosys.co</t>
        </is>
      </c>
      <c r="D242" t="inlineStr">
        <is>
          <t>incident-reporter</t>
        </is>
      </c>
      <c r="E242">
        <f>HYPERLINK("http://gitlab.osmosys.co/incident-reporter/incident-reporter-angular-portal", "OQSHA Portal")</f>
        <v/>
      </c>
      <c r="F242">
        <f>HYPERLINK("http://gitlab.osmosys.co/incident-reporter/incident-reporter-angular-portal/-/merge_requests/3454", "fix: fix get task by id function")</f>
        <v/>
      </c>
      <c r="G242" t="inlineStr">
        <is>
          <t>fix/populate-task-category</t>
        </is>
      </c>
      <c r="H242" t="inlineStr">
        <is>
          <t>sprint-17</t>
        </is>
      </c>
      <c r="I242" t="inlineStr">
        <is>
          <t>merged</t>
        </is>
      </c>
      <c r="J242" t="inlineStr">
        <is>
          <t>f1f8e17a07d2440c015f788ca3526e8e432c2f78</t>
        </is>
      </c>
      <c r="K242">
        <f>HYPERLINK("http://gitlab.osmosys.co/incident-reporter/incident-reporter-angular-portal/-/merge_requests/3454#note_237001", "As this function is async so this should call with  await as like there so why in other 4 places not calling with await? Please check and do the things in consistent")</f>
        <v/>
      </c>
      <c r="L242" t="inlineStr">
        <is>
          <t>2025-07-15 17:32:27.404 IST</t>
        </is>
      </c>
      <c r="M242" t="inlineStr">
        <is>
          <t>Soundariya B</t>
        </is>
      </c>
      <c r="N242" t="inlineStr">
        <is>
          <t>Yes</t>
        </is>
      </c>
      <c r="O242" t="inlineStr">
        <is>
          <t>Yes</t>
        </is>
      </c>
      <c r="P242" t="inlineStr">
        <is>
          <t>Soundariya B</t>
        </is>
      </c>
      <c r="Q242" t="inlineStr">
        <is>
          <t>Bad</t>
        </is>
      </c>
    </row>
    <row r="243">
      <c r="A243" t="inlineStr">
        <is>
          <t>shreya.v</t>
        </is>
      </c>
      <c r="B243" t="inlineStr">
        <is>
          <t>Shreya Ved</t>
        </is>
      </c>
      <c r="C243" t="inlineStr">
        <is>
          <t>shreya.v@osmosys.co</t>
        </is>
      </c>
      <c r="D243" t="inlineStr">
        <is>
          <t>incident-reporter</t>
        </is>
      </c>
      <c r="E243">
        <f>HYPERLINK("http://gitlab.osmosys.co/incident-reporter/incident-reporter-angular-portal", "OQSHA Portal")</f>
        <v/>
      </c>
      <c r="F243">
        <f>HYPERLINK("http://gitlab.osmosys.co/incident-reporter/incident-reporter-angular-portal/-/merge_requests/3454", "fix: fix get task by id function")</f>
        <v/>
      </c>
      <c r="G243" t="inlineStr">
        <is>
          <t>fix/populate-task-category</t>
        </is>
      </c>
      <c r="H243" t="inlineStr">
        <is>
          <t>sprint-17</t>
        </is>
      </c>
      <c r="I243" t="inlineStr">
        <is>
          <t>merged</t>
        </is>
      </c>
      <c r="J243" t="inlineStr">
        <is>
          <t>f1f8e17a07d2440c015f788ca3526e8e432c2f78</t>
        </is>
      </c>
      <c r="K243">
        <f>HYPERLINK("http://gitlab.osmosys.co/incident-reporter/incident-reporter-angular-portal/-/merge_requests/3454#note_237026", "made all await and async")</f>
        <v/>
      </c>
      <c r="L243" t="inlineStr">
        <is>
          <t>2025-07-15 18:01:51.175 IST</t>
        </is>
      </c>
      <c r="M243" t="inlineStr">
        <is>
          <t>Shreya Ved</t>
        </is>
      </c>
      <c r="N243" t="inlineStr">
        <is>
          <t>No</t>
        </is>
      </c>
      <c r="O243" t="inlineStr">
        <is>
          <t>Yes</t>
        </is>
      </c>
      <c r="P243" t="inlineStr">
        <is>
          <t>Soundariya B</t>
        </is>
      </c>
      <c r="Q243" t="inlineStr">
        <is>
          <t>Bad</t>
        </is>
      </c>
    </row>
    <row r="244">
      <c r="A244" t="inlineStr">
        <is>
          <t>shreya.v</t>
        </is>
      </c>
      <c r="B244" t="inlineStr">
        <is>
          <t>Shreya Ved</t>
        </is>
      </c>
      <c r="C244" t="inlineStr">
        <is>
          <t>shreya.v@osmosys.co</t>
        </is>
      </c>
      <c r="D244" t="inlineStr">
        <is>
          <t>incident-reporter</t>
        </is>
      </c>
      <c r="E244">
        <f>HYPERLINK("http://gitlab.osmosys.co/incident-reporter/incident-reporter-angular-portal", "OQSHA Portal")</f>
        <v/>
      </c>
      <c r="F244">
        <f>HYPERLINK("http://gitlab.osmosys.co/incident-reporter/incident-reporter-angular-portal/-/merge_requests/3454", "fix: fix get task by id function")</f>
        <v/>
      </c>
      <c r="G244" t="inlineStr">
        <is>
          <t>fix/populate-task-category</t>
        </is>
      </c>
      <c r="H244" t="inlineStr">
        <is>
          <t>sprint-17</t>
        </is>
      </c>
      <c r="I244" t="inlineStr">
        <is>
          <t>merged</t>
        </is>
      </c>
      <c r="J244" t="inlineStr">
        <is>
          <t>ea1c823e91c8b37713e3aacaf241256009c6897e</t>
        </is>
      </c>
      <c r="K244">
        <f>HYPERLINK("http://gitlab.osmosys.co/incident-reporter/incident-reporter-angular-portal/-/merge_requests/3454#note_237002", "Remove this space")</f>
        <v/>
      </c>
      <c r="L244" t="inlineStr">
        <is>
          <t>2025-07-15 17:32:27.466 IST</t>
        </is>
      </c>
      <c r="M244" t="inlineStr">
        <is>
          <t>Soundariya B</t>
        </is>
      </c>
      <c r="N244" t="inlineStr">
        <is>
          <t>Yes</t>
        </is>
      </c>
      <c r="O244" t="inlineStr">
        <is>
          <t>Yes</t>
        </is>
      </c>
      <c r="P244" t="inlineStr">
        <is>
          <t>Soundariya B</t>
        </is>
      </c>
      <c r="Q244" t="inlineStr">
        <is>
          <t>Neutral</t>
        </is>
      </c>
    </row>
    <row r="245">
      <c r="A245" t="inlineStr">
        <is>
          <t>shreya.v</t>
        </is>
      </c>
      <c r="B245" t="inlineStr">
        <is>
          <t>Shreya Ved</t>
        </is>
      </c>
      <c r="C245" t="inlineStr">
        <is>
          <t>shreya.v@osmosys.co</t>
        </is>
      </c>
      <c r="D245" t="inlineStr">
        <is>
          <t>incident-reporter</t>
        </is>
      </c>
      <c r="E245">
        <f>HYPERLINK("http://gitlab.osmosys.co/incident-reporter/incident-reporter-angular-portal", "OQSHA Portal")</f>
        <v/>
      </c>
      <c r="F245">
        <f>HYPERLINK("http://gitlab.osmosys.co/incident-reporter/incident-reporter-angular-portal/-/merge_requests/3454", "fix: fix get task by id function")</f>
        <v/>
      </c>
      <c r="G245" t="inlineStr">
        <is>
          <t>fix/populate-task-category</t>
        </is>
      </c>
      <c r="H245" t="inlineStr">
        <is>
          <t>sprint-17</t>
        </is>
      </c>
      <c r="I245" t="inlineStr">
        <is>
          <t>merged</t>
        </is>
      </c>
      <c r="J245" t="inlineStr">
        <is>
          <t>ea1c823e91c8b37713e3aacaf241256009c6897e</t>
        </is>
      </c>
      <c r="K245">
        <f>HYPERLINK("http://gitlab.osmosys.co/incident-reporter/incident-reporter-angular-portal/-/merge_requests/3454#note_237023", "there was no space and that space ng lint provides itself")</f>
        <v/>
      </c>
      <c r="L245" t="inlineStr">
        <is>
          <t>2025-07-15 18:01:21.486 IST</t>
        </is>
      </c>
      <c r="M245" t="inlineStr">
        <is>
          <t>Shreya Ved</t>
        </is>
      </c>
      <c r="N245" t="inlineStr">
        <is>
          <t>No</t>
        </is>
      </c>
      <c r="O245" t="inlineStr">
        <is>
          <t>Yes</t>
        </is>
      </c>
      <c r="P245" t="inlineStr">
        <is>
          <t>Soundariya B</t>
        </is>
      </c>
      <c r="Q245" t="inlineStr">
        <is>
          <t>Neutral</t>
        </is>
      </c>
    </row>
    <row r="246">
      <c r="A246" t="inlineStr">
        <is>
          <t>shreya.v</t>
        </is>
      </c>
      <c r="B246" t="inlineStr">
        <is>
          <t>Shreya Ved</t>
        </is>
      </c>
      <c r="C246" t="inlineStr">
        <is>
          <t>shreya.v@osmosys.co</t>
        </is>
      </c>
      <c r="D246" t="inlineStr">
        <is>
          <t>incident-reporter</t>
        </is>
      </c>
      <c r="E246">
        <f>HYPERLINK("http://gitlab.osmosys.co/incident-reporter/incident-reporter-angular-portal", "OQSHA Portal")</f>
        <v/>
      </c>
      <c r="F246">
        <f>HYPERLINK("http://gitlab.osmosys.co/incident-reporter/incident-reporter-angular-portal/-/merge_requests/3442", "feat: add csv functionality in moc list page")</f>
        <v/>
      </c>
      <c r="G246" t="inlineStr">
        <is>
          <t>feat/moc-csv</t>
        </is>
      </c>
      <c r="H246" t="inlineStr">
        <is>
          <t>sprint-17</t>
        </is>
      </c>
      <c r="I246" t="inlineStr">
        <is>
          <t>merged</t>
        </is>
      </c>
      <c r="J246" t="inlineStr">
        <is>
          <t>c12c4e07b460ce01bc8c24398bc9481008f01cd1</t>
        </is>
      </c>
      <c r="K246">
        <f>HYPERLINK("http://gitlab.osmosys.co/incident-reporter/incident-reporter-angular-portal/-/merge_requests/3442#note_236606", "Merge conflicts")</f>
        <v/>
      </c>
      <c r="L246" t="inlineStr">
        <is>
          <t>2025-07-15 10:56:17.017 IST</t>
        </is>
      </c>
      <c r="M246" t="inlineStr">
        <is>
          <t>Soundariya B</t>
        </is>
      </c>
      <c r="N246" t="inlineStr">
        <is>
          <t>Yes</t>
        </is>
      </c>
      <c r="O246" t="inlineStr">
        <is>
          <t>Yes</t>
        </is>
      </c>
      <c r="P246" t="inlineStr">
        <is>
          <t>Soundariya B</t>
        </is>
      </c>
      <c r="Q246" t="inlineStr">
        <is>
          <t>Bad</t>
        </is>
      </c>
    </row>
    <row r="247">
      <c r="A247" t="inlineStr">
        <is>
          <t>shreya.v</t>
        </is>
      </c>
      <c r="B247" t="inlineStr">
        <is>
          <t>Shreya Ved</t>
        </is>
      </c>
      <c r="C247" t="inlineStr">
        <is>
          <t>shreya.v@osmosys.co</t>
        </is>
      </c>
      <c r="D247" t="inlineStr">
        <is>
          <t>incident-reporter</t>
        </is>
      </c>
      <c r="E247">
        <f>HYPERLINK("http://gitlab.osmosys.co/incident-reporter/incident-reporter-angular-portal", "OQSHA Portal")</f>
        <v/>
      </c>
      <c r="F247">
        <f>HYPERLINK("http://gitlab.osmosys.co/incident-reporter/incident-reporter-angular-portal/-/merge_requests/3442", "feat: add csv functionality in moc list page")</f>
        <v/>
      </c>
      <c r="G247" t="inlineStr">
        <is>
          <t>feat/moc-csv</t>
        </is>
      </c>
      <c r="H247" t="inlineStr">
        <is>
          <t>sprint-17</t>
        </is>
      </c>
      <c r="I247" t="inlineStr">
        <is>
          <t>merged</t>
        </is>
      </c>
      <c r="J247" t="inlineStr">
        <is>
          <t>c12c4e07b460ce01bc8c24398bc9481008f01cd1</t>
        </is>
      </c>
      <c r="K247">
        <f>HYPERLINK("http://gitlab.osmosys.co/incident-reporter/incident-reporter-angular-portal/-/merge_requests/3442#note_236619", "resolved")</f>
        <v/>
      </c>
      <c r="L247" t="inlineStr">
        <is>
          <t>2025-07-15 11:10:30.763 IST</t>
        </is>
      </c>
      <c r="M247" t="inlineStr">
        <is>
          <t>Shreya Ved</t>
        </is>
      </c>
      <c r="N247" t="inlineStr">
        <is>
          <t>No</t>
        </is>
      </c>
      <c r="O247" t="inlineStr">
        <is>
          <t>Yes</t>
        </is>
      </c>
      <c r="P247" t="inlineStr">
        <is>
          <t>Soundariya B</t>
        </is>
      </c>
      <c r="Q247" t="inlineStr">
        <is>
          <t>Bad</t>
        </is>
      </c>
    </row>
    <row r="248">
      <c r="A248" t="inlineStr">
        <is>
          <t>shreya.v</t>
        </is>
      </c>
      <c r="B248" t="inlineStr">
        <is>
          <t>Shreya Ved</t>
        </is>
      </c>
      <c r="C248" t="inlineStr">
        <is>
          <t>shreya.v@osmosys.co</t>
        </is>
      </c>
      <c r="D248" t="inlineStr">
        <is>
          <t>incident-reporter</t>
        </is>
      </c>
      <c r="E248">
        <f>HYPERLINK("http://gitlab.osmosys.co/incident-reporter/incident-reporter-angular-portal", "OQSHA Portal")</f>
        <v/>
      </c>
      <c r="F248">
        <f>HYPERLINK("http://gitlab.osmosys.co/incident-reporter/incident-reporter-angular-portal/-/merge_requests/3442", "feat: add csv functionality in moc list page")</f>
        <v/>
      </c>
      <c r="G248" t="inlineStr">
        <is>
          <t>feat/moc-csv</t>
        </is>
      </c>
      <c r="H248" t="inlineStr">
        <is>
          <t>sprint-17</t>
        </is>
      </c>
      <c r="I248" t="inlineStr">
        <is>
          <t>merged</t>
        </is>
      </c>
      <c r="J248" t="inlineStr">
        <is>
          <t>47ce542c491899f2b88bc35e49e59aed2c8c37aa</t>
        </is>
      </c>
      <c r="K248">
        <f>HYPERLINK("http://gitlab.osmosys.co/incident-reporter/incident-reporter-angular-portal/-/merge_requests/3442#note_236607", "As parameter is huge of this function so can you take this from interface model as object")</f>
        <v/>
      </c>
      <c r="L248" t="inlineStr">
        <is>
          <t>2025-07-15 10:56:17.092 IST</t>
        </is>
      </c>
      <c r="M248" t="inlineStr">
        <is>
          <t>Soundariya B</t>
        </is>
      </c>
      <c r="N248" t="inlineStr">
        <is>
          <t>Yes</t>
        </is>
      </c>
      <c r="O248" t="inlineStr">
        <is>
          <t>Yes</t>
        </is>
      </c>
      <c r="P248" t="inlineStr">
        <is>
          <t>Soundariya B</t>
        </is>
      </c>
      <c r="Q248" t="inlineStr">
        <is>
          <t>Neutral</t>
        </is>
      </c>
    </row>
    <row r="249">
      <c r="A249" t="inlineStr">
        <is>
          <t>shreya.v</t>
        </is>
      </c>
      <c r="B249" t="inlineStr">
        <is>
          <t>Shreya Ved</t>
        </is>
      </c>
      <c r="C249" t="inlineStr">
        <is>
          <t>shreya.v@osmosys.co</t>
        </is>
      </c>
      <c r="D249" t="inlineStr">
        <is>
          <t>incident-reporter</t>
        </is>
      </c>
      <c r="E249">
        <f>HYPERLINK("http://gitlab.osmosys.co/incident-reporter/incident-reporter-angular-portal", "OQSHA Portal")</f>
        <v/>
      </c>
      <c r="F249">
        <f>HYPERLINK("http://gitlab.osmosys.co/incident-reporter/incident-reporter-angular-portal/-/merge_requests/3442", "feat: add csv functionality in moc list page")</f>
        <v/>
      </c>
      <c r="G249" t="inlineStr">
        <is>
          <t>feat/moc-csv</t>
        </is>
      </c>
      <c r="H249" t="inlineStr">
        <is>
          <t>sprint-17</t>
        </is>
      </c>
      <c r="I249" t="inlineStr">
        <is>
          <t>merged</t>
        </is>
      </c>
      <c r="J249" t="inlineStr">
        <is>
          <t>47ce542c491899f2b88bc35e49e59aed2c8c37aa</t>
        </is>
      </c>
      <c r="K249">
        <f>HYPERLINK("http://gitlab.osmosys.co/incident-reporter/incident-reporter-angular-portal/-/merge_requests/3442#note_236668", "Model has different interface functions for each of User, Category etc which are not same what backend expects and So I cannot strongly type my payload in ts file. All export functionality is similar across all modules.")</f>
        <v/>
      </c>
      <c r="L249" t="inlineStr">
        <is>
          <t>2025-07-15 12:05:35.503 IST</t>
        </is>
      </c>
      <c r="M249" t="inlineStr">
        <is>
          <t>Shreya Ved</t>
        </is>
      </c>
      <c r="N249" t="inlineStr">
        <is>
          <t>No</t>
        </is>
      </c>
      <c r="O249" t="inlineStr">
        <is>
          <t>Yes</t>
        </is>
      </c>
      <c r="P249" t="inlineStr">
        <is>
          <t>Soundariya B</t>
        </is>
      </c>
      <c r="Q249" t="inlineStr">
        <is>
          <t>Neutral</t>
        </is>
      </c>
    </row>
    <row r="250">
      <c r="A250" t="inlineStr">
        <is>
          <t>shreya.v</t>
        </is>
      </c>
      <c r="B250" t="inlineStr">
        <is>
          <t>Shreya Ved</t>
        </is>
      </c>
      <c r="C250" t="inlineStr">
        <is>
          <t>shreya.v@osmosys.co</t>
        </is>
      </c>
      <c r="D250" t="inlineStr">
        <is>
          <t>incident-reporter</t>
        </is>
      </c>
      <c r="E250">
        <f>HYPERLINK("http://gitlab.osmosys.co/incident-reporter/incident-reporter-angular-portal", "OQSHA Portal")</f>
        <v/>
      </c>
      <c r="F250">
        <f>HYPERLINK("http://gitlab.osmosys.co/incident-reporter/incident-reporter-angular-portal/-/merge_requests/3442", "feat: add csv functionality in moc list page")</f>
        <v/>
      </c>
      <c r="G250" t="inlineStr">
        <is>
          <t>feat/moc-csv</t>
        </is>
      </c>
      <c r="H250" t="inlineStr">
        <is>
          <t>sprint-17</t>
        </is>
      </c>
      <c r="I250" t="inlineStr">
        <is>
          <t>merged</t>
        </is>
      </c>
      <c r="J250" t="inlineStr">
        <is>
          <t>997892da84b9ab80ccb2151ffa2b67c6017d394e</t>
        </is>
      </c>
      <c r="K250">
        <f>HYPERLINK("http://gitlab.osmosys.co/incident-reporter/incident-reporter-angular-portal/-/merge_requests/3442#note_236608", "Payload formation and logic should be done in ts file and this service file only provide the api service which is good practice")</f>
        <v/>
      </c>
      <c r="L250" t="inlineStr">
        <is>
          <t>2025-07-15 10:56:17.188 IST</t>
        </is>
      </c>
      <c r="M250" t="inlineStr">
        <is>
          <t>Soundariya B</t>
        </is>
      </c>
      <c r="N250" t="inlineStr">
        <is>
          <t>Yes</t>
        </is>
      </c>
      <c r="O250" t="inlineStr">
        <is>
          <t>Yes</t>
        </is>
      </c>
      <c r="P250" t="inlineStr">
        <is>
          <t>Soundariya B</t>
        </is>
      </c>
      <c r="Q250" t="inlineStr">
        <is>
          <t>Neutral</t>
        </is>
      </c>
    </row>
    <row r="251">
      <c r="A251" t="inlineStr">
        <is>
          <t>shreya.v</t>
        </is>
      </c>
      <c r="B251" t="inlineStr">
        <is>
          <t>Shreya Ved</t>
        </is>
      </c>
      <c r="C251" t="inlineStr">
        <is>
          <t>shreya.v@osmosys.co</t>
        </is>
      </c>
      <c r="D251" t="inlineStr">
        <is>
          <t>incident-reporter</t>
        </is>
      </c>
      <c r="E251">
        <f>HYPERLINK("http://gitlab.osmosys.co/incident-reporter/incident-reporter-angular-portal", "OQSHA Portal")</f>
        <v/>
      </c>
      <c r="F251">
        <f>HYPERLINK("http://gitlab.osmosys.co/incident-reporter/incident-reporter-angular-portal/-/merge_requests/3442", "feat: add csv functionality in moc list page")</f>
        <v/>
      </c>
      <c r="G251" t="inlineStr">
        <is>
          <t>feat/moc-csv</t>
        </is>
      </c>
      <c r="H251" t="inlineStr">
        <is>
          <t>sprint-17</t>
        </is>
      </c>
      <c r="I251" t="inlineStr">
        <is>
          <t>merged</t>
        </is>
      </c>
      <c r="J251" t="inlineStr">
        <is>
          <t>997892da84b9ab80ccb2151ffa2b67c6017d394e</t>
        </is>
      </c>
      <c r="K251">
        <f>HYPERLINK("http://gitlab.osmosys.co/incident-reporter/incident-reporter-angular-portal/-/merge_requests/3442#note_236721", "In ts file we are extracting data coming from filter component which is being transformed into payload here in service file. Also type safety is not present here so we can use id to map which is correct from backend else interface is defined with UserId etc which on being used is always sending null.")</f>
        <v/>
      </c>
      <c r="L251" t="inlineStr">
        <is>
          <t>2025-07-15 12:22:44.833 IST</t>
        </is>
      </c>
      <c r="M251" t="inlineStr">
        <is>
          <t>Shreya Ved</t>
        </is>
      </c>
      <c r="N251" t="inlineStr">
        <is>
          <t>No</t>
        </is>
      </c>
      <c r="O251" t="inlineStr">
        <is>
          <t>Yes</t>
        </is>
      </c>
      <c r="P251" t="inlineStr">
        <is>
          <t>Soundariya B</t>
        </is>
      </c>
      <c r="Q251" t="inlineStr">
        <is>
          <t>Neutral</t>
        </is>
      </c>
    </row>
    <row r="252">
      <c r="A252" t="inlineStr">
        <is>
          <t>shreya.v</t>
        </is>
      </c>
      <c r="B252" t="inlineStr">
        <is>
          <t>Shreya Ved</t>
        </is>
      </c>
      <c r="C252" t="inlineStr">
        <is>
          <t>shreya.v@osmosys.co</t>
        </is>
      </c>
      <c r="D252" t="inlineStr">
        <is>
          <t>incident-reporter</t>
        </is>
      </c>
      <c r="E252">
        <f>HYPERLINK("http://gitlab.osmosys.co/incident-reporter/incident-reporter-angular-portal", "OQSHA Portal")</f>
        <v/>
      </c>
      <c r="F252">
        <f>HYPERLINK("http://gitlab.osmosys.co/incident-reporter/incident-reporter-angular-portal/-/merge_requests/3442", "feat: add csv functionality in moc list page")</f>
        <v/>
      </c>
      <c r="G252" t="inlineStr">
        <is>
          <t>feat/moc-csv</t>
        </is>
      </c>
      <c r="H252" t="inlineStr">
        <is>
          <t>sprint-17</t>
        </is>
      </c>
      <c r="I252" t="inlineStr">
        <is>
          <t>merged</t>
        </is>
      </c>
      <c r="J252" t="inlineStr">
        <is>
          <t>adfb085421cb965d9fe213fa98b23180cbae94ea</t>
        </is>
      </c>
      <c r="K252">
        <f>HYPERLINK("http://gitlab.osmosys.co/incident-reporter/incident-reporter-angular-portal/-/merge_requests/3442#note_236609", "This is missing
(err) **=\&gt;** { 
**this**.logger.**logError**(err);")</f>
        <v/>
      </c>
      <c r="L252" t="inlineStr">
        <is>
          <t>2025-07-15 10:56:17.268 IST</t>
        </is>
      </c>
      <c r="M252" t="inlineStr">
        <is>
          <t>Soundariya B</t>
        </is>
      </c>
      <c r="N252" t="inlineStr">
        <is>
          <t>Yes</t>
        </is>
      </c>
      <c r="O252" t="inlineStr">
        <is>
          <t>Yes</t>
        </is>
      </c>
      <c r="P252" t="inlineStr">
        <is>
          <t>Soundariya B</t>
        </is>
      </c>
      <c r="Q252" t="inlineStr">
        <is>
          <t>Bad</t>
        </is>
      </c>
    </row>
    <row r="253">
      <c r="A253" t="inlineStr">
        <is>
          <t>shreya.v</t>
        </is>
      </c>
      <c r="B253" t="inlineStr">
        <is>
          <t>Shreya Ved</t>
        </is>
      </c>
      <c r="C253" t="inlineStr">
        <is>
          <t>shreya.v@osmosys.co</t>
        </is>
      </c>
      <c r="D253" t="inlineStr">
        <is>
          <t>incident-reporter</t>
        </is>
      </c>
      <c r="E253">
        <f>HYPERLINK("http://gitlab.osmosys.co/incident-reporter/incident-reporter-angular-portal", "OQSHA Portal")</f>
        <v/>
      </c>
      <c r="F253">
        <f>HYPERLINK("http://gitlab.osmosys.co/incident-reporter/incident-reporter-angular-portal/-/merge_requests/3442", "feat: add csv functionality in moc list page")</f>
        <v/>
      </c>
      <c r="G253" t="inlineStr">
        <is>
          <t>feat/moc-csv</t>
        </is>
      </c>
      <c r="H253" t="inlineStr">
        <is>
          <t>sprint-17</t>
        </is>
      </c>
      <c r="I253" t="inlineStr">
        <is>
          <t>merged</t>
        </is>
      </c>
      <c r="J253" t="inlineStr">
        <is>
          <t>adfb085421cb965d9fe213fa98b23180cbae94ea</t>
        </is>
      </c>
      <c r="K253">
        <f>HYPERLINK("http://gitlab.osmosys.co/incident-reporter/incident-reporter-angular-portal/-/merge_requests/3442#note_236618", "hmm")</f>
        <v/>
      </c>
      <c r="L253" t="inlineStr">
        <is>
          <t>2025-07-15 11:07:21.574 IST</t>
        </is>
      </c>
      <c r="M253" t="inlineStr">
        <is>
          <t>Shreya Ved</t>
        </is>
      </c>
      <c r="N253" t="inlineStr">
        <is>
          <t>No</t>
        </is>
      </c>
      <c r="O253" t="inlineStr">
        <is>
          <t>Yes</t>
        </is>
      </c>
      <c r="P253" t="inlineStr">
        <is>
          <t>Soundariya B</t>
        </is>
      </c>
      <c r="Q253" t="inlineStr">
        <is>
          <t>Bad</t>
        </is>
      </c>
    </row>
    <row r="254">
      <c r="A254" t="inlineStr">
        <is>
          <t>shreya.v</t>
        </is>
      </c>
      <c r="B254" t="inlineStr">
        <is>
          <t>Shreya Ved</t>
        </is>
      </c>
      <c r="C254" t="inlineStr">
        <is>
          <t>shreya.v@osmosys.co</t>
        </is>
      </c>
      <c r="D254" t="inlineStr">
        <is>
          <t>incident-reporter</t>
        </is>
      </c>
      <c r="E254">
        <f>HYPERLINK("http://gitlab.osmosys.co/incident-reporter/incident-reporter-angular-portal", "OQSHA Portal")</f>
        <v/>
      </c>
      <c r="F254">
        <f>HYPERLINK("http://gitlab.osmosys.co/incident-reporter/incident-reporter-angular-portal/-/merge_requests/3442", "feat: add csv functionality in moc list page")</f>
        <v/>
      </c>
      <c r="G254" t="inlineStr">
        <is>
          <t>feat/moc-csv</t>
        </is>
      </c>
      <c r="H254" t="inlineStr">
        <is>
          <t>sprint-17</t>
        </is>
      </c>
      <c r="I254" t="inlineStr">
        <is>
          <t>merged</t>
        </is>
      </c>
      <c r="J254" t="inlineStr">
        <is>
          <t>78cd79e14853629962b6bdc82f9fb7fcf23146f7</t>
        </is>
      </c>
      <c r="K254">
        <f>HYPERLINK("http://gitlab.osmosys.co/incident-reporter/incident-reporter-angular-portal/-/merge_requests/3442#note_236610", "Take these routes from constant file")</f>
        <v/>
      </c>
      <c r="L254" t="inlineStr">
        <is>
          <t>2025-07-15 10:56:17.328 IST</t>
        </is>
      </c>
      <c r="M254" t="inlineStr">
        <is>
          <t>Soundariya B</t>
        </is>
      </c>
      <c r="N254" t="inlineStr">
        <is>
          <t>Yes</t>
        </is>
      </c>
      <c r="O254" t="inlineStr">
        <is>
          <t>Yes</t>
        </is>
      </c>
      <c r="P254" t="inlineStr">
        <is>
          <t>Soundariya B</t>
        </is>
      </c>
      <c r="Q254" t="inlineStr">
        <is>
          <t>Bad</t>
        </is>
      </c>
    </row>
    <row r="255">
      <c r="A255" t="inlineStr">
        <is>
          <t>shreya.v</t>
        </is>
      </c>
      <c r="B255" t="inlineStr">
        <is>
          <t>Shreya Ved</t>
        </is>
      </c>
      <c r="C255" t="inlineStr">
        <is>
          <t>shreya.v@osmosys.co</t>
        </is>
      </c>
      <c r="D255" t="inlineStr">
        <is>
          <t>incident-reporter</t>
        </is>
      </c>
      <c r="E255">
        <f>HYPERLINK("http://gitlab.osmosys.co/incident-reporter/incident-reporter-angular-portal", "OQSHA Portal")</f>
        <v/>
      </c>
      <c r="F255">
        <f>HYPERLINK("http://gitlab.osmosys.co/incident-reporter/incident-reporter-angular-portal/-/merge_requests/3442", "feat: add csv functionality in moc list page")</f>
        <v/>
      </c>
      <c r="G255" t="inlineStr">
        <is>
          <t>feat/moc-csv</t>
        </is>
      </c>
      <c r="H255" t="inlineStr">
        <is>
          <t>sprint-17</t>
        </is>
      </c>
      <c r="I255" t="inlineStr">
        <is>
          <t>merged</t>
        </is>
      </c>
      <c r="J255" t="inlineStr">
        <is>
          <t>78cd79e14853629962b6bdc82f9fb7fcf23146f7</t>
        </is>
      </c>
      <c r="K255">
        <f>HYPERLINK("http://gitlab.osmosys.co/incident-reporter/incident-reporter-angular-portal/-/merge_requests/3442#note_236713", "done")</f>
        <v/>
      </c>
      <c r="L255" t="inlineStr">
        <is>
          <t>2025-07-15 12:20:58.929 IST</t>
        </is>
      </c>
      <c r="M255" t="inlineStr">
        <is>
          <t>Shreya Ved</t>
        </is>
      </c>
      <c r="N255" t="inlineStr">
        <is>
          <t>No</t>
        </is>
      </c>
      <c r="O255" t="inlineStr">
        <is>
          <t>Yes</t>
        </is>
      </c>
      <c r="P255" t="inlineStr">
        <is>
          <t>Soundariya B</t>
        </is>
      </c>
      <c r="Q255" t="inlineStr">
        <is>
          <t>Bad</t>
        </is>
      </c>
    </row>
    <row r="256">
      <c r="A256" t="inlineStr">
        <is>
          <t>shreya.v</t>
        </is>
      </c>
      <c r="B256" t="inlineStr">
        <is>
          <t>Shreya Ved</t>
        </is>
      </c>
      <c r="C256" t="inlineStr">
        <is>
          <t>shreya.v@osmosys.co</t>
        </is>
      </c>
      <c r="D256" t="inlineStr">
        <is>
          <t>incident-reporter</t>
        </is>
      </c>
      <c r="E256">
        <f>HYPERLINK("http://gitlab.osmosys.co/incident-reporter/incident-reporter-angular-portal", "OQSHA Portal")</f>
        <v/>
      </c>
      <c r="F256">
        <f>HYPERLINK("http://gitlab.osmosys.co/incident-reporter/incident-reporter-angular-portal/-/merge_requests/3442", "feat: add csv functionality in moc list page")</f>
        <v/>
      </c>
      <c r="G256" t="inlineStr">
        <is>
          <t>feat/moc-csv</t>
        </is>
      </c>
      <c r="H256" t="inlineStr">
        <is>
          <t>sprint-17</t>
        </is>
      </c>
      <c r="I256" t="inlineStr">
        <is>
          <t>merged</t>
        </is>
      </c>
      <c r="J256" t="inlineStr">
        <is>
          <t>ee5913ec2adde364227c206cafaba535d50f0ff0</t>
        </is>
      </c>
      <c r="K256">
        <f>HYPERLINK("http://gitlab.osmosys.co/incident-reporter/incident-reporter-angular-portal/-/merge_requests/3442#note_236611", "Can you attach the exported csv file to verify and with filtered data")</f>
        <v/>
      </c>
      <c r="L256" t="inlineStr">
        <is>
          <t>2025-07-15 10:56:17.381 IST</t>
        </is>
      </c>
      <c r="M256" t="inlineStr">
        <is>
          <t>Soundariya B</t>
        </is>
      </c>
      <c r="N256" t="inlineStr">
        <is>
          <t>Yes</t>
        </is>
      </c>
      <c r="O256" t="inlineStr">
        <is>
          <t>Yes</t>
        </is>
      </c>
      <c r="P256" t="inlineStr">
        <is>
          <t>Soundariya B</t>
        </is>
      </c>
      <c r="Q256" t="inlineStr">
        <is>
          <t>Bad</t>
        </is>
      </c>
    </row>
    <row r="257">
      <c r="A257" t="inlineStr">
        <is>
          <t>shreya.v</t>
        </is>
      </c>
      <c r="B257" t="inlineStr">
        <is>
          <t>Shreya Ved</t>
        </is>
      </c>
      <c r="C257" t="inlineStr">
        <is>
          <t>shreya.v@osmosys.co</t>
        </is>
      </c>
      <c r="D257" t="inlineStr">
        <is>
          <t>incident-reporter</t>
        </is>
      </c>
      <c r="E257">
        <f>HYPERLINK("http://gitlab.osmosys.co/incident-reporter/incident-reporter-angular-portal", "OQSHA Portal")</f>
        <v/>
      </c>
      <c r="F257">
        <f>HYPERLINK("http://gitlab.osmosys.co/incident-reporter/incident-reporter-angular-portal/-/merge_requests/3442", "feat: add csv functionality in moc list page")</f>
        <v/>
      </c>
      <c r="G257" t="inlineStr">
        <is>
          <t>feat/moc-csv</t>
        </is>
      </c>
      <c r="H257" t="inlineStr">
        <is>
          <t>sprint-17</t>
        </is>
      </c>
      <c r="I257" t="inlineStr">
        <is>
          <t>merged</t>
        </is>
      </c>
      <c r="J257" t="inlineStr">
        <is>
          <t>ee5913ec2adde364227c206cafaba535d50f0ff0</t>
        </is>
      </c>
      <c r="K257">
        <f>HYPERLINK("http://gitlab.osmosys.co/incident-reporter/incident-reporter-angular-portal/-/merge_requests/3442#note_236617", "attached")</f>
        <v/>
      </c>
      <c r="L257" t="inlineStr">
        <is>
          <t>2025-07-15 11:05:36.136 IST</t>
        </is>
      </c>
      <c r="M257" t="inlineStr">
        <is>
          <t>Shreya Ved</t>
        </is>
      </c>
      <c r="N257" t="inlineStr">
        <is>
          <t>No</t>
        </is>
      </c>
      <c r="O257" t="inlineStr">
        <is>
          <t>Yes</t>
        </is>
      </c>
      <c r="P257" t="inlineStr">
        <is>
          <t>Soundariya B</t>
        </is>
      </c>
      <c r="Q257" t="inlineStr">
        <is>
          <t>Bad</t>
        </is>
      </c>
    </row>
    <row r="258">
      <c r="A258" t="inlineStr">
        <is>
          <t>shreya.v</t>
        </is>
      </c>
      <c r="B258" t="inlineStr">
        <is>
          <t>Shreya Ved</t>
        </is>
      </c>
      <c r="C258" t="inlineStr">
        <is>
          <t>shreya.v@osmosys.co</t>
        </is>
      </c>
      <c r="D258" t="inlineStr">
        <is>
          <t>incident-reporter</t>
        </is>
      </c>
      <c r="E258">
        <f>HYPERLINK("http://gitlab.osmosys.co/incident-reporter/incident-reporter-angular-portal", "OQSHA Portal")</f>
        <v/>
      </c>
      <c r="F258">
        <f>HYPERLINK("http://gitlab.osmosys.co/incident-reporter/incident-reporter-angular-portal/-/merge_requests/3418", "fix: fix the task payload for priority property")</f>
        <v/>
      </c>
      <c r="G258" t="inlineStr">
        <is>
          <t>fix/task-filter-payload</t>
        </is>
      </c>
      <c r="H258" t="inlineStr">
        <is>
          <t>sprint-17</t>
        </is>
      </c>
      <c r="I258" t="inlineStr">
        <is>
          <t>merged</t>
        </is>
      </c>
      <c r="J258" t="inlineStr">
        <is>
          <t>44374df788b7bd59829bbaf3f691ee80dd2fae94</t>
        </is>
      </c>
      <c r="K258">
        <f>HYPERLINK("http://gitlab.osmosys.co/incident-reporter/incident-reporter-angular-portal/-/merge_requests/3418#note_235191", "What data? it doesn't make sense")</f>
        <v/>
      </c>
      <c r="L258" t="inlineStr">
        <is>
          <t>2025-07-11 14:33:30.889 IST</t>
        </is>
      </c>
      <c r="M258" t="inlineStr">
        <is>
          <t>Soundariya B</t>
        </is>
      </c>
      <c r="N258" t="inlineStr">
        <is>
          <t>Yes</t>
        </is>
      </c>
      <c r="O258" t="inlineStr">
        <is>
          <t>Yes</t>
        </is>
      </c>
      <c r="P258" t="inlineStr">
        <is>
          <t>Soundariya B</t>
        </is>
      </c>
      <c r="Q258" t="inlineStr">
        <is>
          <t>Neutral</t>
        </is>
      </c>
    </row>
    <row r="259">
      <c r="A259" t="inlineStr">
        <is>
          <t>shreya.v</t>
        </is>
      </c>
      <c r="B259" t="inlineStr">
        <is>
          <t>Shreya Ved</t>
        </is>
      </c>
      <c r="C259" t="inlineStr">
        <is>
          <t>shreya.v@osmosys.co</t>
        </is>
      </c>
      <c r="D259" t="inlineStr">
        <is>
          <t>incident-reporter</t>
        </is>
      </c>
      <c r="E259">
        <f>HYPERLINK("http://gitlab.osmosys.co/incident-reporter/incident-reporter-angular-portal", "OQSHA Portal")</f>
        <v/>
      </c>
      <c r="F259">
        <f>HYPERLINK("http://gitlab.osmosys.co/incident-reporter/incident-reporter-angular-portal/-/merge_requests/3418", "fix: fix the task payload for priority property")</f>
        <v/>
      </c>
      <c r="G259" t="inlineStr">
        <is>
          <t>fix/task-filter-payload</t>
        </is>
      </c>
      <c r="H259" t="inlineStr">
        <is>
          <t>sprint-17</t>
        </is>
      </c>
      <c r="I259" t="inlineStr">
        <is>
          <t>merged</t>
        </is>
      </c>
      <c r="J259" t="inlineStr">
        <is>
          <t>44374df788b7bd59829bbaf3f691ee80dd2fae94</t>
        </is>
      </c>
      <c r="K259">
        <f>HYPERLINK("http://gitlab.osmosys.co/incident-reporter/incident-reporter-angular-portal/-/merge_requests/3418#note_235250", "ok")</f>
        <v/>
      </c>
      <c r="L259" t="inlineStr">
        <is>
          <t>2025-07-11 15:27:20.837 IST</t>
        </is>
      </c>
      <c r="M259" t="inlineStr">
        <is>
          <t>Shreya Ved</t>
        </is>
      </c>
      <c r="N259" t="inlineStr">
        <is>
          <t>No</t>
        </is>
      </c>
      <c r="O259" t="inlineStr">
        <is>
          <t>Yes</t>
        </is>
      </c>
      <c r="P259" t="inlineStr">
        <is>
          <t>Soundariya B</t>
        </is>
      </c>
      <c r="Q259" t="inlineStr">
        <is>
          <t>Neutral</t>
        </is>
      </c>
    </row>
    <row r="260">
      <c r="A260" t="inlineStr">
        <is>
          <t>shreya.v</t>
        </is>
      </c>
      <c r="B260" t="inlineStr">
        <is>
          <t>Shreya Ved</t>
        </is>
      </c>
      <c r="C260" t="inlineStr">
        <is>
          <t>shreya.v@osmosys.co</t>
        </is>
      </c>
      <c r="D260" t="inlineStr">
        <is>
          <t>incident-reporter</t>
        </is>
      </c>
      <c r="E260">
        <f>HYPERLINK("http://gitlab.osmosys.co/incident-reporter/incident-reporter-angular-portal", "OQSHA Portal")</f>
        <v/>
      </c>
      <c r="F260">
        <f>HYPERLINK("http://gitlab.osmosys.co/incident-reporter/incident-reporter-angular-portal/-/merge_requests/3418", "fix: fix the task payload for priority property")</f>
        <v/>
      </c>
      <c r="G260" t="inlineStr">
        <is>
          <t>fix/task-filter-payload</t>
        </is>
      </c>
      <c r="H260" t="inlineStr">
        <is>
          <t>sprint-17</t>
        </is>
      </c>
      <c r="I260" t="inlineStr">
        <is>
          <t>merged</t>
        </is>
      </c>
      <c r="J260" t="inlineStr">
        <is>
          <t>d39f2fd56c7e39a2615b3d43354ea188e168d052</t>
        </is>
      </c>
      <c r="K260">
        <f>HYPERLINK("http://gitlab.osmosys.co/incident-reporter/incident-reporter-angular-portal/-/merge_requests/3418#note_235192", "What selected? it doesn't make sense")</f>
        <v/>
      </c>
      <c r="L260" t="inlineStr">
        <is>
          <t>2025-07-11 14:33:30.960 IST</t>
        </is>
      </c>
      <c r="M260" t="inlineStr">
        <is>
          <t>Soundariya B</t>
        </is>
      </c>
      <c r="N260" t="inlineStr">
        <is>
          <t>Yes</t>
        </is>
      </c>
      <c r="O260" t="inlineStr">
        <is>
          <t>Yes</t>
        </is>
      </c>
      <c r="P260" t="inlineStr">
        <is>
          <t>Soundariya B</t>
        </is>
      </c>
      <c r="Q260" t="inlineStr">
        <is>
          <t>Neutral</t>
        </is>
      </c>
    </row>
    <row r="261">
      <c r="A261" t="inlineStr">
        <is>
          <t>shreya.v</t>
        </is>
      </c>
      <c r="B261" t="inlineStr">
        <is>
          <t>Shreya Ved</t>
        </is>
      </c>
      <c r="C261" t="inlineStr">
        <is>
          <t>shreya.v@osmosys.co</t>
        </is>
      </c>
      <c r="D261" t="inlineStr">
        <is>
          <t>incident-reporter</t>
        </is>
      </c>
      <c r="E261">
        <f>HYPERLINK("http://gitlab.osmosys.co/incident-reporter/incident-reporter-angular-portal", "OQSHA Portal")</f>
        <v/>
      </c>
      <c r="F261">
        <f>HYPERLINK("http://gitlab.osmosys.co/incident-reporter/incident-reporter-angular-portal/-/merge_requests/3418", "fix: fix the task payload for priority property")</f>
        <v/>
      </c>
      <c r="G261" t="inlineStr">
        <is>
          <t>fix/task-filter-payload</t>
        </is>
      </c>
      <c r="H261" t="inlineStr">
        <is>
          <t>sprint-17</t>
        </is>
      </c>
      <c r="I261" t="inlineStr">
        <is>
          <t>merged</t>
        </is>
      </c>
      <c r="J261" t="inlineStr">
        <is>
          <t>d39f2fd56c7e39a2615b3d43354ea188e168d052</t>
        </is>
      </c>
      <c r="K261">
        <f>HYPERLINK("http://gitlab.osmosys.co/incident-reporter/incident-reporter-angular-portal/-/merge_requests/3418#note_235247", "It is inside getStatus and a local variable and it says selected. Updated.")</f>
        <v/>
      </c>
      <c r="L261" t="inlineStr">
        <is>
          <t>2025-07-11 15:27:06.838 IST</t>
        </is>
      </c>
      <c r="M261" t="inlineStr">
        <is>
          <t>Shreya Ved</t>
        </is>
      </c>
      <c r="N261" t="inlineStr">
        <is>
          <t>No</t>
        </is>
      </c>
      <c r="O261" t="inlineStr">
        <is>
          <t>Yes</t>
        </is>
      </c>
      <c r="P261" t="inlineStr">
        <is>
          <t>Soundariya B</t>
        </is>
      </c>
      <c r="Q261" t="inlineStr">
        <is>
          <t>Neutral</t>
        </is>
      </c>
    </row>
    <row r="262">
      <c r="A262" t="inlineStr">
        <is>
          <t>shreya.v</t>
        </is>
      </c>
      <c r="B262" t="inlineStr">
        <is>
          <t>Shreya Ved</t>
        </is>
      </c>
      <c r="C262" t="inlineStr">
        <is>
          <t>shreya.v@osmosys.co</t>
        </is>
      </c>
      <c r="D262" t="inlineStr">
        <is>
          <t>incident-reporter</t>
        </is>
      </c>
      <c r="E262">
        <f>HYPERLINK("http://gitlab.osmosys.co/incident-reporter/incident-reporter-angular-portal", "OQSHA Portal")</f>
        <v/>
      </c>
      <c r="F262">
        <f>HYPERLINK("http://gitlab.osmosys.co/incident-reporter/incident-reporter-angular-portal/-/merge_requests/3418", "fix: fix the task payload for priority property")</f>
        <v/>
      </c>
      <c r="G262" t="inlineStr">
        <is>
          <t>fix/task-filter-payload</t>
        </is>
      </c>
      <c r="H262" t="inlineStr">
        <is>
          <t>sprint-17</t>
        </is>
      </c>
      <c r="I262" t="inlineStr">
        <is>
          <t>merged</t>
        </is>
      </c>
      <c r="J262" t="inlineStr">
        <is>
          <t>a545a25a15647897dfacef294fd9ad5925723259</t>
        </is>
      </c>
      <c r="K262">
        <f>HYPERLINK("http://gitlab.osmosys.co/incident-reporter/incident-reporter-angular-portal/-/merge_requests/3418#note_235193", "What selectedIds? it doesn't make sense")</f>
        <v/>
      </c>
      <c r="L262" t="inlineStr">
        <is>
          <t>2025-07-11 14:33:31.022 IST</t>
        </is>
      </c>
      <c r="M262" t="inlineStr">
        <is>
          <t>Soundariya B</t>
        </is>
      </c>
      <c r="N262" t="inlineStr">
        <is>
          <t>Yes</t>
        </is>
      </c>
      <c r="O262" t="inlineStr">
        <is>
          <t>Yes</t>
        </is>
      </c>
      <c r="P262" t="inlineStr">
        <is>
          <t>Soundariya B</t>
        </is>
      </c>
      <c r="Q262" t="inlineStr">
        <is>
          <t>Neutral</t>
        </is>
      </c>
    </row>
    <row r="263">
      <c r="A263" t="inlineStr">
        <is>
          <t>shreya.v</t>
        </is>
      </c>
      <c r="B263" t="inlineStr">
        <is>
          <t>Shreya Ved</t>
        </is>
      </c>
      <c r="C263" t="inlineStr">
        <is>
          <t>shreya.v@osmosys.co</t>
        </is>
      </c>
      <c r="D263" t="inlineStr">
        <is>
          <t>incident-reporter</t>
        </is>
      </c>
      <c r="E263">
        <f>HYPERLINK("http://gitlab.osmosys.co/incident-reporter/incident-reporter-angular-portal", "OQSHA Portal")</f>
        <v/>
      </c>
      <c r="F263">
        <f>HYPERLINK("http://gitlab.osmosys.co/incident-reporter/incident-reporter-angular-portal/-/merge_requests/3418", "fix: fix the task payload for priority property")</f>
        <v/>
      </c>
      <c r="G263" t="inlineStr">
        <is>
          <t>fix/task-filter-payload</t>
        </is>
      </c>
      <c r="H263" t="inlineStr">
        <is>
          <t>sprint-17</t>
        </is>
      </c>
      <c r="I263" t="inlineStr">
        <is>
          <t>merged</t>
        </is>
      </c>
      <c r="J263" t="inlineStr">
        <is>
          <t>a545a25a15647897dfacef294fd9ad5925723259</t>
        </is>
      </c>
      <c r="K263">
        <f>HYPERLINK("http://gitlab.osmosys.co/incident-reporter/incident-reporter-angular-portal/-/merge_requests/3418#note_235249", "ok")</f>
        <v/>
      </c>
      <c r="L263" t="inlineStr">
        <is>
          <t>2025-07-11 15:27:12.561 IST</t>
        </is>
      </c>
      <c r="M263" t="inlineStr">
        <is>
          <t>Shreya Ved</t>
        </is>
      </c>
      <c r="N263" t="inlineStr">
        <is>
          <t>No</t>
        </is>
      </c>
      <c r="O263" t="inlineStr">
        <is>
          <t>Yes</t>
        </is>
      </c>
      <c r="P263" t="inlineStr">
        <is>
          <t>Soundariya B</t>
        </is>
      </c>
      <c r="Q263" t="inlineStr">
        <is>
          <t>Neutral</t>
        </is>
      </c>
    </row>
    <row r="264">
      <c r="A264" t="inlineStr">
        <is>
          <t>shreya.v</t>
        </is>
      </c>
      <c r="B264" t="inlineStr">
        <is>
          <t>Shreya Ved</t>
        </is>
      </c>
      <c r="C264" t="inlineStr">
        <is>
          <t>shreya.v@osmosys.co</t>
        </is>
      </c>
      <c r="D264" t="inlineStr">
        <is>
          <t>incident-reporter</t>
        </is>
      </c>
      <c r="E264">
        <f>HYPERLINK("http://gitlab.osmosys.co/incident-reporter/incident-reporter-angular-portal", "OQSHA Portal")</f>
        <v/>
      </c>
      <c r="F264">
        <f>HYPERLINK("http://gitlab.osmosys.co/incident-reporter/incident-reporter-angular-portal/-/merge_requests/3418", "fix: fix the task payload for priority property")</f>
        <v/>
      </c>
      <c r="G264" t="inlineStr">
        <is>
          <t>fix/task-filter-payload</t>
        </is>
      </c>
      <c r="H264" t="inlineStr">
        <is>
          <t>sprint-17</t>
        </is>
      </c>
      <c r="I264" t="inlineStr">
        <is>
          <t>merged</t>
        </is>
      </c>
      <c r="J264" t="inlineStr">
        <is>
          <t>0fcbc12b65afc5c8a0f2e5b273d3926ed485baf8</t>
        </is>
      </c>
      <c r="K264">
        <f>HYPERLINK("http://gitlab.osmosys.co/incident-reporter/incident-reporter-angular-portal/-/merge_requests/3418#note_235194", "What allIds? it doesn't make sense")</f>
        <v/>
      </c>
      <c r="L264" t="inlineStr">
        <is>
          <t>2025-07-11 14:33:31.077 IST</t>
        </is>
      </c>
      <c r="M264" t="inlineStr">
        <is>
          <t>Soundariya B</t>
        </is>
      </c>
      <c r="N264" t="inlineStr">
        <is>
          <t>Yes</t>
        </is>
      </c>
      <c r="O264" t="inlineStr">
        <is>
          <t>Yes</t>
        </is>
      </c>
      <c r="P264" t="inlineStr">
        <is>
          <t>Soundariya B</t>
        </is>
      </c>
      <c r="Q264" t="inlineStr">
        <is>
          <t>Neutral</t>
        </is>
      </c>
    </row>
    <row r="265">
      <c r="A265" t="inlineStr">
        <is>
          <t>shreya.v</t>
        </is>
      </c>
      <c r="B265" t="inlineStr">
        <is>
          <t>Shreya Ved</t>
        </is>
      </c>
      <c r="C265" t="inlineStr">
        <is>
          <t>shreya.v@osmosys.co</t>
        </is>
      </c>
      <c r="D265" t="inlineStr">
        <is>
          <t>incident-reporter</t>
        </is>
      </c>
      <c r="E265">
        <f>HYPERLINK("http://gitlab.osmosys.co/incident-reporter/incident-reporter-angular-portal", "OQSHA Portal")</f>
        <v/>
      </c>
      <c r="F265">
        <f>HYPERLINK("http://gitlab.osmosys.co/incident-reporter/incident-reporter-angular-portal/-/merge_requests/3418", "fix: fix the task payload for priority property")</f>
        <v/>
      </c>
      <c r="G265" t="inlineStr">
        <is>
          <t>fix/task-filter-payload</t>
        </is>
      </c>
      <c r="H265" t="inlineStr">
        <is>
          <t>sprint-17</t>
        </is>
      </c>
      <c r="I265" t="inlineStr">
        <is>
          <t>merged</t>
        </is>
      </c>
      <c r="J265" t="inlineStr">
        <is>
          <t>0fcbc12b65afc5c8a0f2e5b273d3926ed485baf8</t>
        </is>
      </c>
      <c r="K265">
        <f>HYPERLINK("http://gitlab.osmosys.co/incident-reporter/incident-reporter-angular-portal/-/merge_requests/3418#note_235251", "Updated")</f>
        <v/>
      </c>
      <c r="L265" t="inlineStr">
        <is>
          <t>2025-07-11 15:28:02.024 IST</t>
        </is>
      </c>
      <c r="M265" t="inlineStr">
        <is>
          <t>Shreya Ved</t>
        </is>
      </c>
      <c r="N265" t="inlineStr">
        <is>
          <t>No</t>
        </is>
      </c>
      <c r="O265" t="inlineStr">
        <is>
          <t>Yes</t>
        </is>
      </c>
      <c r="P265" t="inlineStr">
        <is>
          <t>Soundariya B</t>
        </is>
      </c>
      <c r="Q265" t="inlineStr">
        <is>
          <t>Neutral</t>
        </is>
      </c>
    </row>
    <row r="266">
      <c r="A266" t="inlineStr">
        <is>
          <t>shreya.v</t>
        </is>
      </c>
      <c r="B266" t="inlineStr">
        <is>
          <t>Shreya Ved</t>
        </is>
      </c>
      <c r="C266" t="inlineStr">
        <is>
          <t>shreya.v@osmosys.co</t>
        </is>
      </c>
      <c r="D266" t="inlineStr">
        <is>
          <t>incident-reporter</t>
        </is>
      </c>
      <c r="E266">
        <f>HYPERLINK("http://gitlab.osmosys.co/incident-reporter/incident-reporter-angular-portal", "OQSHA Portal")</f>
        <v/>
      </c>
      <c r="F266">
        <f>HYPERLINK("http://gitlab.osmosys.co/incident-reporter/incident-reporter-angular-portal/-/merge_requests/3418", "fix: fix the task payload for priority property")</f>
        <v/>
      </c>
      <c r="G266" t="inlineStr">
        <is>
          <t>fix/task-filter-payload</t>
        </is>
      </c>
      <c r="H266" t="inlineStr">
        <is>
          <t>sprint-17</t>
        </is>
      </c>
      <c r="I266" t="inlineStr">
        <is>
          <t>merged</t>
        </is>
      </c>
      <c r="J266" t="inlineStr">
        <is>
          <t>822ae5a0f185b5e9a4aca818c669ea9f3aed46b1</t>
        </is>
      </c>
      <c r="K266">
        <f>HYPERLINK("http://gitlab.osmosys.co/incident-reporter/incident-reporter-angular-portal/-/merge_requests/3418#note_235195", "Same kind of logic using please improve this")</f>
        <v/>
      </c>
      <c r="L266" t="inlineStr">
        <is>
          <t>2025-07-11 14:33:31.139 IST</t>
        </is>
      </c>
      <c r="M266" t="inlineStr">
        <is>
          <t>Soundariya B</t>
        </is>
      </c>
      <c r="N266" t="inlineStr">
        <is>
          <t>Yes</t>
        </is>
      </c>
      <c r="O266" t="inlineStr">
        <is>
          <t>Yes</t>
        </is>
      </c>
      <c r="P266" t="inlineStr">
        <is>
          <t>Soundariya B</t>
        </is>
      </c>
      <c r="Q266" t="inlineStr">
        <is>
          <t>Neutral</t>
        </is>
      </c>
    </row>
    <row r="267">
      <c r="A267" t="inlineStr">
        <is>
          <t>shreya.v</t>
        </is>
      </c>
      <c r="B267" t="inlineStr">
        <is>
          <t>Shreya Ved</t>
        </is>
      </c>
      <c r="C267" t="inlineStr">
        <is>
          <t>shreya.v@osmosys.co</t>
        </is>
      </c>
      <c r="D267" t="inlineStr">
        <is>
          <t>incident-reporter</t>
        </is>
      </c>
      <c r="E267">
        <f>HYPERLINK("http://gitlab.osmosys.co/incident-reporter/incident-reporter-angular-portal", "OQSHA Portal")</f>
        <v/>
      </c>
      <c r="F267">
        <f>HYPERLINK("http://gitlab.osmosys.co/incident-reporter/incident-reporter-angular-portal/-/merge_requests/3418", "fix: fix the task payload for priority property")</f>
        <v/>
      </c>
      <c r="G267" t="inlineStr">
        <is>
          <t>fix/task-filter-payload</t>
        </is>
      </c>
      <c r="H267" t="inlineStr">
        <is>
          <t>sprint-17</t>
        </is>
      </c>
      <c r="I267" t="inlineStr">
        <is>
          <t>merged</t>
        </is>
      </c>
      <c r="J267" t="inlineStr">
        <is>
          <t>822ae5a0f185b5e9a4aca818c669ea9f3aed46b1</t>
        </is>
      </c>
      <c r="K267">
        <f>HYPERLINK("http://gitlab.osmosys.co/incident-reporter/incident-reporter-angular-portal/-/merge_requests/3418#note_235239", "The logic is different and cannot be changed because the list is becoming the same length as selected items.")</f>
        <v/>
      </c>
      <c r="L267" t="inlineStr">
        <is>
          <t>2025-07-11 15:17:32.767 IST</t>
        </is>
      </c>
      <c r="M267" t="inlineStr">
        <is>
          <t>Shreya Ved</t>
        </is>
      </c>
      <c r="N267" t="inlineStr">
        <is>
          <t>No</t>
        </is>
      </c>
      <c r="O267" t="inlineStr">
        <is>
          <t>Yes</t>
        </is>
      </c>
      <c r="P267" t="inlineStr">
        <is>
          <t>Soundariya B</t>
        </is>
      </c>
      <c r="Q267" t="inlineStr">
        <is>
          <t>Neutral</t>
        </is>
      </c>
    </row>
    <row r="268">
      <c r="A268" t="inlineStr">
        <is>
          <t>shreya.v</t>
        </is>
      </c>
      <c r="B268" t="inlineStr">
        <is>
          <t>Shreya Ved</t>
        </is>
      </c>
      <c r="C268" t="inlineStr">
        <is>
          <t>shreya.v@osmosys.co</t>
        </is>
      </c>
      <c r="D268" t="inlineStr">
        <is>
          <t>incident-reporter</t>
        </is>
      </c>
      <c r="E268">
        <f>HYPERLINK("http://gitlab.osmosys.co/incident-reporter/incident-reporter-angular-portal", "OQSHA Portal")</f>
        <v/>
      </c>
      <c r="F268">
        <f>HYPERLINK("http://gitlab.osmosys.co/incident-reporter/incident-reporter-angular-portal/-/merge_requests/3418", "fix: fix the task payload for priority property")</f>
        <v/>
      </c>
      <c r="G268" t="inlineStr">
        <is>
          <t>fix/task-filter-payload</t>
        </is>
      </c>
      <c r="H268" t="inlineStr">
        <is>
          <t>sprint-17</t>
        </is>
      </c>
      <c r="I268" t="inlineStr">
        <is>
          <t>merged</t>
        </is>
      </c>
      <c r="J268" t="inlineStr">
        <is>
          <t>53254eb4f93b0d1be4fb0e62bfde5688869dd823</t>
        </is>
      </c>
      <c r="K268">
        <f>HYPERLINK("http://gitlab.osmosys.co/incident-reporter/incident-reporter-angular-portal/-/merge_requests/3418#note_235196", "No test case file attached")</f>
        <v/>
      </c>
      <c r="L268" t="inlineStr">
        <is>
          <t>2025-07-11 14:33:31.187 IST</t>
        </is>
      </c>
      <c r="M268" t="inlineStr">
        <is>
          <t>Soundariya B</t>
        </is>
      </c>
      <c r="N268" t="inlineStr">
        <is>
          <t>Yes</t>
        </is>
      </c>
      <c r="O268" t="inlineStr">
        <is>
          <t>Yes</t>
        </is>
      </c>
      <c r="P268" t="inlineStr">
        <is>
          <t>Soundariya B</t>
        </is>
      </c>
      <c r="Q268" t="inlineStr">
        <is>
          <t>Neutral</t>
        </is>
      </c>
    </row>
    <row r="269">
      <c r="A269" t="inlineStr">
        <is>
          <t>shreya.v</t>
        </is>
      </c>
      <c r="B269" t="inlineStr">
        <is>
          <t>Shreya Ved</t>
        </is>
      </c>
      <c r="C269" t="inlineStr">
        <is>
          <t>shreya.v@osmosys.co</t>
        </is>
      </c>
      <c r="D269" t="inlineStr">
        <is>
          <t>incident-reporter</t>
        </is>
      </c>
      <c r="E269">
        <f>HYPERLINK("http://gitlab.osmosys.co/incident-reporter/incident-reporter-angular-portal", "OQSHA Portal")</f>
        <v/>
      </c>
      <c r="F269">
        <f>HYPERLINK("http://gitlab.osmosys.co/incident-reporter/incident-reporter-angular-portal/-/merge_requests/3418", "fix: fix the task payload for priority property")</f>
        <v/>
      </c>
      <c r="G269" t="inlineStr">
        <is>
          <t>fix/task-filter-payload</t>
        </is>
      </c>
      <c r="H269" t="inlineStr">
        <is>
          <t>sprint-17</t>
        </is>
      </c>
      <c r="I269" t="inlineStr">
        <is>
          <t>merged</t>
        </is>
      </c>
      <c r="J269" t="inlineStr">
        <is>
          <t>53254eb4f93b0d1be4fb0e62bfde5688869dd823</t>
        </is>
      </c>
      <c r="K269">
        <f>HYPERLINK("http://gitlab.osmosys.co/incident-reporter/incident-reporter-angular-portal/-/merge_requests/3418#note_235264", "This is just a fix. All proper test cases are attached in main PR.")</f>
        <v/>
      </c>
      <c r="L269" t="inlineStr">
        <is>
          <t>2025-07-11 15:36:46.941 IST</t>
        </is>
      </c>
      <c r="M269" t="inlineStr">
        <is>
          <t>Shreya Ved</t>
        </is>
      </c>
      <c r="N269" t="inlineStr">
        <is>
          <t>No</t>
        </is>
      </c>
      <c r="O269" t="inlineStr">
        <is>
          <t>Yes</t>
        </is>
      </c>
      <c r="P269" t="inlineStr">
        <is>
          <t>Soundariya B</t>
        </is>
      </c>
      <c r="Q269" t="inlineStr">
        <is>
          <t>Neutral</t>
        </is>
      </c>
    </row>
    <row r="270">
      <c r="A270" t="inlineStr">
        <is>
          <t>shreya.v</t>
        </is>
      </c>
      <c r="B270" t="inlineStr">
        <is>
          <t>Shreya Ved</t>
        </is>
      </c>
      <c r="C270" t="inlineStr">
        <is>
          <t>shreya.v@osmosys.co</t>
        </is>
      </c>
      <c r="D270" t="inlineStr">
        <is>
          <t>incident-reporter</t>
        </is>
      </c>
      <c r="E270">
        <f>HYPERLINK("http://gitlab.osmosys.co/incident-reporter/incident-reporter-angular-portal", "OQSHA Portal")</f>
        <v/>
      </c>
      <c r="F270">
        <f>HYPERLINK("http://gitlab.osmosys.co/incident-reporter/incident-reporter-angular-portal/-/merge_requests/3418", "fix: fix the task payload for priority property")</f>
        <v/>
      </c>
      <c r="G270" t="inlineStr">
        <is>
          <t>fix/task-filter-payload</t>
        </is>
      </c>
      <c r="H270" t="inlineStr">
        <is>
          <t>sprint-17</t>
        </is>
      </c>
      <c r="I270" t="inlineStr">
        <is>
          <t>merged</t>
        </is>
      </c>
      <c r="J270" t="inlineStr">
        <is>
          <t>d4a8bbd34a9515e581fc4e4535dfe9b6da83d2bd</t>
        </is>
      </c>
      <c r="K270">
        <f>HYPERLINK("http://gitlab.osmosys.co/incident-reporter/incident-reporter-angular-portal/-/merge_requests/3418#note_235285", "All these comments could have been raised in 1 single comment. But for each variable a separate comment has been raised.")</f>
        <v/>
      </c>
      <c r="L270" t="inlineStr">
        <is>
          <t>2025-07-11 15:44:22.010 IST</t>
        </is>
      </c>
      <c r="M270" t="inlineStr">
        <is>
          <t>Shreya Ved</t>
        </is>
      </c>
      <c r="N270" t="inlineStr">
        <is>
          <t>No</t>
        </is>
      </c>
      <c r="O270" t="inlineStr">
        <is>
          <t>No</t>
        </is>
      </c>
      <c r="P270" t="inlineStr"/>
      <c r="Q270" t="inlineStr">
        <is>
          <t>Neutral</t>
        </is>
      </c>
    </row>
    <row r="271">
      <c r="A271" t="inlineStr">
        <is>
          <t>shreya.v</t>
        </is>
      </c>
      <c r="B271" t="inlineStr">
        <is>
          <t>Shreya Ved</t>
        </is>
      </c>
      <c r="C271" t="inlineStr">
        <is>
          <t>shreya.v@osmosys.co</t>
        </is>
      </c>
      <c r="D271" t="inlineStr">
        <is>
          <t>incident-reporter</t>
        </is>
      </c>
      <c r="E271">
        <f>HYPERLINK("http://gitlab.osmosys.co/incident-reporter/incident-reporter-angular-portal", "OQSHA Portal")</f>
        <v/>
      </c>
      <c r="F271">
        <f>HYPERLINK("http://gitlab.osmosys.co/incident-reporter/incident-reporter-angular-portal/-/merge_requests/3412", "fix: update payload according to backend requirements")</f>
        <v/>
      </c>
      <c r="G271" t="inlineStr">
        <is>
          <t>fix/csv-payload</t>
        </is>
      </c>
      <c r="H271" t="inlineStr">
        <is>
          <t>sprint-17</t>
        </is>
      </c>
      <c r="I271" t="inlineStr">
        <is>
          <t>merged</t>
        </is>
      </c>
      <c r="J271" t="inlineStr"/>
      <c r="K271" t="inlineStr"/>
      <c r="L271" t="inlineStr"/>
      <c r="M271" t="inlineStr"/>
      <c r="N271" t="inlineStr"/>
      <c r="O271" t="inlineStr"/>
      <c r="P271" t="inlineStr"/>
      <c r="Q271" t="inlineStr"/>
    </row>
    <row r="272">
      <c r="A272" t="inlineStr">
        <is>
          <t>shreya.v</t>
        </is>
      </c>
      <c r="B272" t="inlineStr">
        <is>
          <t>Shreya Ved</t>
        </is>
      </c>
      <c r="C272" t="inlineStr">
        <is>
          <t>shreya.v@osmosys.co</t>
        </is>
      </c>
      <c r="D272" t="inlineStr">
        <is>
          <t>incident-reporter</t>
        </is>
      </c>
      <c r="E272">
        <f>HYPERLINK("http://gitlab.osmosys.co/incident-reporter/incident-reporter-angular-portal", "OQSHA Portal")</f>
        <v/>
      </c>
      <c r="F272">
        <f>HYPERLINK("http://gitlab.osmosys.co/incident-reporter/incident-reporter-angular-portal/-/merge_requests/3397", "feat: update csv apis of whole portal")</f>
        <v/>
      </c>
      <c r="G272" t="inlineStr">
        <is>
          <t>feat/update-csv-apis</t>
        </is>
      </c>
      <c r="H272" t="inlineStr">
        <is>
          <t>sprint-17</t>
        </is>
      </c>
      <c r="I272" t="inlineStr">
        <is>
          <t>merged</t>
        </is>
      </c>
      <c r="J272" t="inlineStr"/>
      <c r="K272" t="inlineStr"/>
      <c r="L272" t="inlineStr"/>
      <c r="M272" t="inlineStr"/>
      <c r="N272" t="inlineStr"/>
      <c r="O272" t="inlineStr"/>
      <c r="P272" t="inlineStr"/>
      <c r="Q272" t="inlineStr"/>
    </row>
    <row r="273">
      <c r="A273" t="inlineStr">
        <is>
          <t>shreya.v</t>
        </is>
      </c>
      <c r="B273" t="inlineStr">
        <is>
          <t>Shreya Ved</t>
        </is>
      </c>
      <c r="C273" t="inlineStr">
        <is>
          <t>shreya.v@osmosys.co</t>
        </is>
      </c>
      <c r="D273" t="inlineStr">
        <is>
          <t>incident-reporter</t>
        </is>
      </c>
      <c r="E273">
        <f>HYPERLINK("http://gitlab.osmosys.co/incident-reporter/incident-reporter-angular-portal", "OQSHA Portal")</f>
        <v/>
      </c>
      <c r="F273">
        <f>HYPERLINK("http://gitlab.osmosys.co/incident-reporter/incident-reporter-angular-portal/-/merge_requests/3388", "fix: remove the incident status from payload if it does not have value")</f>
        <v/>
      </c>
      <c r="G273" t="inlineStr">
        <is>
          <t>fix/remove-incidentstatus</t>
        </is>
      </c>
      <c r="H273" t="inlineStr">
        <is>
          <t>sprint-16</t>
        </is>
      </c>
      <c r="I273" t="inlineStr">
        <is>
          <t>merged</t>
        </is>
      </c>
      <c r="J273" t="inlineStr"/>
      <c r="K273" t="inlineStr"/>
      <c r="L273" t="inlineStr"/>
      <c r="M273" t="inlineStr"/>
      <c r="N273" t="inlineStr"/>
      <c r="O273" t="inlineStr"/>
      <c r="P273" t="inlineStr"/>
      <c r="Q273" t="inlineStr"/>
    </row>
    <row r="274">
      <c r="A274" t="inlineStr">
        <is>
          <t>shreya.v</t>
        </is>
      </c>
      <c r="B274" t="inlineStr">
        <is>
          <t>Shreya Ved</t>
        </is>
      </c>
      <c r="C274" t="inlineStr">
        <is>
          <t>shreya.v@osmosys.co</t>
        </is>
      </c>
      <c r="D274" t="inlineStr">
        <is>
          <t>incident-reporter</t>
        </is>
      </c>
      <c r="E274">
        <f>HYPERLINK("http://gitlab.osmosys.co/incident-reporter/incident-reporter-angular-portal", "OQSHA Portal")</f>
        <v/>
      </c>
      <c r="F274">
        <f>HYPERLINK("http://gitlab.osmosys.co/incident-reporter/incident-reporter-angular-portal/-/merge_requests/3386", "fix: convert export tickets api from get to post")</f>
        <v/>
      </c>
      <c r="G274" t="inlineStr">
        <is>
          <t>fix/export-tickets-api</t>
        </is>
      </c>
      <c r="H274" t="inlineStr">
        <is>
          <t>sprint-16</t>
        </is>
      </c>
      <c r="I274" t="inlineStr">
        <is>
          <t>merged</t>
        </is>
      </c>
      <c r="J274" t="inlineStr"/>
      <c r="K274" t="inlineStr"/>
      <c r="L274" t="inlineStr"/>
      <c r="M274" t="inlineStr"/>
      <c r="N274" t="inlineStr"/>
      <c r="O274" t="inlineStr"/>
      <c r="P274" t="inlineStr"/>
      <c r="Q274" t="inlineStr"/>
    </row>
    <row r="275">
      <c r="A275" t="inlineStr">
        <is>
          <t>shreya.v</t>
        </is>
      </c>
      <c r="B275" t="inlineStr">
        <is>
          <t>Shreya Ved</t>
        </is>
      </c>
      <c r="C275" t="inlineStr">
        <is>
          <t>shreya.v@osmosys.co</t>
        </is>
      </c>
      <c r="D275" t="inlineStr">
        <is>
          <t>incident-reporter</t>
        </is>
      </c>
      <c r="E275">
        <f>HYPERLINK("http://gitlab.osmosys.co/incident-reporter/incident-reporter-angular-portal", "OQSHA Portal")</f>
        <v/>
      </c>
      <c r="F275">
        <f>HYPERLINK("http://gitlab.osmosys.co/incident-reporter/incident-reporter-angular-portal/-/merge_requests/3385", "feat: add user consent static field")</f>
        <v/>
      </c>
      <c r="G275" t="inlineStr">
        <is>
          <t>feat/user-consent</t>
        </is>
      </c>
      <c r="H275" t="inlineStr">
        <is>
          <t>sprint-17</t>
        </is>
      </c>
      <c r="I275" t="inlineStr">
        <is>
          <t>merged</t>
        </is>
      </c>
      <c r="J275" t="inlineStr">
        <is>
          <t>77081ec6b77c11dead56cc196b60d2f4df3994d9</t>
        </is>
      </c>
      <c r="K275">
        <f>HYPERLINK("http://gitlab.osmosys.co/incident-reporter/incident-reporter-angular-portal/-/merge_requests/3385#note_233214", "No meaning full SS I don't why user consent showing three times and also what is functionality exactly not getting it.
No test cases attached")</f>
        <v/>
      </c>
      <c r="L275" t="inlineStr">
        <is>
          <t>2025-07-08 17:48:15.525 IST</t>
        </is>
      </c>
      <c r="M275" t="inlineStr">
        <is>
          <t>Soundariya B</t>
        </is>
      </c>
      <c r="N275" t="inlineStr">
        <is>
          <t>Yes</t>
        </is>
      </c>
      <c r="O275" t="inlineStr">
        <is>
          <t>Yes</t>
        </is>
      </c>
      <c r="P275" t="inlineStr">
        <is>
          <t>Soundariya B</t>
        </is>
      </c>
      <c r="Q275" t="inlineStr">
        <is>
          <t>Neutral</t>
        </is>
      </c>
    </row>
    <row r="276">
      <c r="A276" t="inlineStr">
        <is>
          <t>shreya.v</t>
        </is>
      </c>
      <c r="B276" t="inlineStr">
        <is>
          <t>Shreya Ved</t>
        </is>
      </c>
      <c r="C276" t="inlineStr">
        <is>
          <t>shreya.v@osmosys.co</t>
        </is>
      </c>
      <c r="D276" t="inlineStr">
        <is>
          <t>incident-reporter</t>
        </is>
      </c>
      <c r="E276">
        <f>HYPERLINK("http://gitlab.osmosys.co/incident-reporter/incident-reporter-angular-portal", "OQSHA Portal")</f>
        <v/>
      </c>
      <c r="F276">
        <f>HYPERLINK("http://gitlab.osmosys.co/incident-reporter/incident-reporter-angular-portal/-/merge_requests/3385", "feat: add user consent static field")</f>
        <v/>
      </c>
      <c r="G276" t="inlineStr">
        <is>
          <t>feat/user-consent</t>
        </is>
      </c>
      <c r="H276" t="inlineStr">
        <is>
          <t>sprint-17</t>
        </is>
      </c>
      <c r="I276" t="inlineStr">
        <is>
          <t>merged</t>
        </is>
      </c>
      <c r="J276" t="inlineStr">
        <is>
          <t>77081ec6b77c11dead56cc196b60d2f4df3994d9</t>
        </is>
      </c>
      <c r="K276">
        <f>HYPERLINK("http://gitlab.osmosys.co/incident-reporter/incident-reporter-angular-portal/-/merge_requests/3385#note_233269", "They are three separate screenshots like how it will look when any one of Accepted/Pending/Rejected is displayed along with color.
There are no testcases. It is just static field on edit user page &gt; Basic details section (last field).
Shown same screenshots to Raj and he has also approved
![image](/uploads/84f4d40815c21b2e8907d8fa2227ae2f/image.png){width=365 height=338}")</f>
        <v/>
      </c>
      <c r="L276" t="inlineStr">
        <is>
          <t>2025-07-08 19:23:15.052 IST</t>
        </is>
      </c>
      <c r="M276" t="inlineStr">
        <is>
          <t>Shreya Ved</t>
        </is>
      </c>
      <c r="N276" t="inlineStr">
        <is>
          <t>No</t>
        </is>
      </c>
      <c r="O276" t="inlineStr">
        <is>
          <t>Yes</t>
        </is>
      </c>
      <c r="P276" t="inlineStr">
        <is>
          <t>Soundariya B</t>
        </is>
      </c>
      <c r="Q276" t="inlineStr">
        <is>
          <t>Neutral</t>
        </is>
      </c>
    </row>
    <row r="277">
      <c r="A277" t="inlineStr">
        <is>
          <t>shreya.v</t>
        </is>
      </c>
      <c r="B277" t="inlineStr">
        <is>
          <t>Shreya Ved</t>
        </is>
      </c>
      <c r="C277" t="inlineStr">
        <is>
          <t>shreya.v@osmosys.co</t>
        </is>
      </c>
      <c r="D277" t="inlineStr">
        <is>
          <t>incident-reporter</t>
        </is>
      </c>
      <c r="E277">
        <f>HYPERLINK("http://gitlab.osmosys.co/incident-reporter/incident-reporter-angular-portal", "OQSHA Portal")</f>
        <v/>
      </c>
      <c r="F277">
        <f>HYPERLINK("http://gitlab.osmosys.co/incident-reporter/incident-reporter-angular-portal/-/merge_requests/3385", "feat: add user consent static field")</f>
        <v/>
      </c>
      <c r="G277" t="inlineStr">
        <is>
          <t>feat/user-consent</t>
        </is>
      </c>
      <c r="H277" t="inlineStr">
        <is>
          <t>sprint-17</t>
        </is>
      </c>
      <c r="I277" t="inlineStr">
        <is>
          <t>merged</t>
        </is>
      </c>
      <c r="J277" t="inlineStr">
        <is>
          <t>77081ec6b77c11dead56cc196b60d2f4df3994d9</t>
        </is>
      </c>
      <c r="K277">
        <f>HYPERLINK("http://gitlab.osmosys.co/incident-reporter/incident-reporter-angular-portal/-/merge_requests/3385#note_233296", "I have mentioned in description clearly that added a user consent field which is populated from backend.")</f>
        <v/>
      </c>
      <c r="L277" t="inlineStr">
        <is>
          <t>2025-07-08 19:45:54.026 IST</t>
        </is>
      </c>
      <c r="M277" t="inlineStr">
        <is>
          <t>Shreya Ved</t>
        </is>
      </c>
      <c r="N277" t="inlineStr">
        <is>
          <t>No</t>
        </is>
      </c>
      <c r="O277" t="inlineStr">
        <is>
          <t>Yes</t>
        </is>
      </c>
      <c r="P277" t="inlineStr">
        <is>
          <t>Soundariya B</t>
        </is>
      </c>
      <c r="Q277" t="inlineStr">
        <is>
          <t>Neutral</t>
        </is>
      </c>
    </row>
    <row r="278">
      <c r="A278" t="inlineStr">
        <is>
          <t>shreya.v</t>
        </is>
      </c>
      <c r="B278" t="inlineStr">
        <is>
          <t>Shreya Ved</t>
        </is>
      </c>
      <c r="C278" t="inlineStr">
        <is>
          <t>shreya.v@osmosys.co</t>
        </is>
      </c>
      <c r="D278" t="inlineStr">
        <is>
          <t>incident-reporter</t>
        </is>
      </c>
      <c r="E278">
        <f>HYPERLINK("http://gitlab.osmosys.co/incident-reporter/incident-reporter-angular-portal", "OQSHA Portal")</f>
        <v/>
      </c>
      <c r="F278">
        <f>HYPERLINK("http://gitlab.osmosys.co/incident-reporter/incident-reporter-angular-portal/-/merge_requests/3385", "feat: add user consent static field")</f>
        <v/>
      </c>
      <c r="G278" t="inlineStr">
        <is>
          <t>feat/user-consent</t>
        </is>
      </c>
      <c r="H278" t="inlineStr">
        <is>
          <t>sprint-17</t>
        </is>
      </c>
      <c r="I278" t="inlineStr">
        <is>
          <t>merged</t>
        </is>
      </c>
      <c r="J278" t="inlineStr">
        <is>
          <t>e53a3a4a510fd67c0350e6bb2aae9599ef7379fb</t>
        </is>
      </c>
      <c r="K278">
        <f>HYPERLINK("http://gitlab.osmosys.co/incident-reporter/incident-reporter-angular-portal/-/merge_requests/3385#note_233215", "for attribute is not required here because id is not using for any field")</f>
        <v/>
      </c>
      <c r="L278" t="inlineStr">
        <is>
          <t>2025-07-08 17:48:15.601 IST</t>
        </is>
      </c>
      <c r="M278" t="inlineStr">
        <is>
          <t>Soundariya B</t>
        </is>
      </c>
      <c r="N278" t="inlineStr">
        <is>
          <t>Yes</t>
        </is>
      </c>
      <c r="O278" t="inlineStr">
        <is>
          <t>Yes</t>
        </is>
      </c>
      <c r="P278" t="inlineStr">
        <is>
          <t>Soundariya B</t>
        </is>
      </c>
      <c r="Q278" t="inlineStr">
        <is>
          <t>Neutral</t>
        </is>
      </c>
    </row>
    <row r="279">
      <c r="A279" t="inlineStr">
        <is>
          <t>shreya.v</t>
        </is>
      </c>
      <c r="B279" t="inlineStr">
        <is>
          <t>Shreya Ved</t>
        </is>
      </c>
      <c r="C279" t="inlineStr">
        <is>
          <t>shreya.v@osmosys.co</t>
        </is>
      </c>
      <c r="D279" t="inlineStr">
        <is>
          <t>incident-reporter</t>
        </is>
      </c>
      <c r="E279">
        <f>HYPERLINK("http://gitlab.osmosys.co/incident-reporter/incident-reporter-angular-portal", "OQSHA Portal")</f>
        <v/>
      </c>
      <c r="F279">
        <f>HYPERLINK("http://gitlab.osmosys.co/incident-reporter/incident-reporter-angular-portal/-/merge_requests/3385", "feat: add user consent static field")</f>
        <v/>
      </c>
      <c r="G279" t="inlineStr">
        <is>
          <t>feat/user-consent</t>
        </is>
      </c>
      <c r="H279" t="inlineStr">
        <is>
          <t>sprint-17</t>
        </is>
      </c>
      <c r="I279" t="inlineStr">
        <is>
          <t>merged</t>
        </is>
      </c>
      <c r="J279" t="inlineStr">
        <is>
          <t>e53a3a4a510fd67c0350e6bb2aae9599ef7379fb</t>
        </is>
      </c>
      <c r="K279">
        <f>HYPERLINK("http://gitlab.osmosys.co/incident-reporter/incident-reporter-angular-portal/-/merge_requests/3385#note_233302", "ok")</f>
        <v/>
      </c>
      <c r="L279" t="inlineStr">
        <is>
          <t>2025-07-08 20:04:43.763 IST</t>
        </is>
      </c>
      <c r="M279" t="inlineStr">
        <is>
          <t>Shreya Ved</t>
        </is>
      </c>
      <c r="N279" t="inlineStr">
        <is>
          <t>No</t>
        </is>
      </c>
      <c r="O279" t="inlineStr">
        <is>
          <t>Yes</t>
        </is>
      </c>
      <c r="P279" t="inlineStr">
        <is>
          <t>Soundariya B</t>
        </is>
      </c>
      <c r="Q279" t="inlineStr">
        <is>
          <t>Neutral</t>
        </is>
      </c>
    </row>
    <row r="280">
      <c r="A280" t="inlineStr">
        <is>
          <t>shreya.v</t>
        </is>
      </c>
      <c r="B280" t="inlineStr">
        <is>
          <t>Shreya Ved</t>
        </is>
      </c>
      <c r="C280" t="inlineStr">
        <is>
          <t>shreya.v@osmosys.co</t>
        </is>
      </c>
      <c r="D280" t="inlineStr">
        <is>
          <t>incident-reporter</t>
        </is>
      </c>
      <c r="E280">
        <f>HYPERLINK("http://gitlab.osmosys.co/incident-reporter/incident-reporter-angular-portal", "OQSHA Portal")</f>
        <v/>
      </c>
      <c r="F280">
        <f>HYPERLINK("http://gitlab.osmosys.co/incident-reporter/incident-reporter-angular-portal/-/merge_requests/3385", "feat: add user consent static field")</f>
        <v/>
      </c>
      <c r="G280" t="inlineStr">
        <is>
          <t>feat/user-consent</t>
        </is>
      </c>
      <c r="H280" t="inlineStr">
        <is>
          <t>sprint-17</t>
        </is>
      </c>
      <c r="I280" t="inlineStr">
        <is>
          <t>merged</t>
        </is>
      </c>
      <c r="J280" t="inlineStr">
        <is>
          <t>36ce8d954f58e10579ba4a7c97a0194159f138c7</t>
        </is>
      </c>
      <c r="K280">
        <f>HYPERLINK("http://gitlab.osmosys.co/incident-reporter/incident-reporter-angular-portal/-/merge_requests/3385#note_233216", "The hardcoded value take from lang files")</f>
        <v/>
      </c>
      <c r="L280" t="inlineStr">
        <is>
          <t>2025-07-08 17:48:15.660 IST</t>
        </is>
      </c>
      <c r="M280" t="inlineStr">
        <is>
          <t>Soundariya B</t>
        </is>
      </c>
      <c r="N280" t="inlineStr">
        <is>
          <t>Yes</t>
        </is>
      </c>
      <c r="O280" t="inlineStr">
        <is>
          <t>Yes</t>
        </is>
      </c>
      <c r="P280" t="inlineStr">
        <is>
          <t>Soundariya B</t>
        </is>
      </c>
      <c r="Q280" t="inlineStr">
        <is>
          <t>Bad</t>
        </is>
      </c>
    </row>
    <row r="281">
      <c r="A281" t="inlineStr">
        <is>
          <t>shreya.v</t>
        </is>
      </c>
      <c r="B281" t="inlineStr">
        <is>
          <t>Shreya Ved</t>
        </is>
      </c>
      <c r="C281" t="inlineStr">
        <is>
          <t>shreya.v@osmosys.co</t>
        </is>
      </c>
      <c r="D281" t="inlineStr">
        <is>
          <t>incident-reporter</t>
        </is>
      </c>
      <c r="E281">
        <f>HYPERLINK("http://gitlab.osmosys.co/incident-reporter/incident-reporter-angular-portal", "OQSHA Portal")</f>
        <v/>
      </c>
      <c r="F281">
        <f>HYPERLINK("http://gitlab.osmosys.co/incident-reporter/incident-reporter-angular-portal/-/merge_requests/3385", "feat: add user consent static field")</f>
        <v/>
      </c>
      <c r="G281" t="inlineStr">
        <is>
          <t>feat/user-consent</t>
        </is>
      </c>
      <c r="H281" t="inlineStr">
        <is>
          <t>sprint-17</t>
        </is>
      </c>
      <c r="I281" t="inlineStr">
        <is>
          <t>merged</t>
        </is>
      </c>
      <c r="J281" t="inlineStr">
        <is>
          <t>36ce8d954f58e10579ba4a7c97a0194159f138c7</t>
        </is>
      </c>
      <c r="K281">
        <f>HYPERLINK("http://gitlab.osmosys.co/incident-reporter/incident-reporter-angular-portal/-/merge_requests/3385#note_233305", "Removed it")</f>
        <v/>
      </c>
      <c r="L281" t="inlineStr">
        <is>
          <t>2025-07-08 20:09:45.908 IST</t>
        </is>
      </c>
      <c r="M281" t="inlineStr">
        <is>
          <t>Shreya Ved</t>
        </is>
      </c>
      <c r="N281" t="inlineStr">
        <is>
          <t>No</t>
        </is>
      </c>
      <c r="O281" t="inlineStr">
        <is>
          <t>Yes</t>
        </is>
      </c>
      <c r="P281" t="inlineStr">
        <is>
          <t>Soundariya B</t>
        </is>
      </c>
      <c r="Q281" t="inlineStr">
        <is>
          <t>Bad</t>
        </is>
      </c>
    </row>
    <row r="282">
      <c r="A282" t="inlineStr">
        <is>
          <t>shreya.v</t>
        </is>
      </c>
      <c r="B282" t="inlineStr">
        <is>
          <t>Shreya Ved</t>
        </is>
      </c>
      <c r="C282" t="inlineStr">
        <is>
          <t>shreya.v@osmosys.co</t>
        </is>
      </c>
      <c r="D282" t="inlineStr">
        <is>
          <t>incident-reporter</t>
        </is>
      </c>
      <c r="E282">
        <f>HYPERLINK("http://gitlab.osmosys.co/incident-reporter/incident-reporter-angular-portal", "OQSHA Portal")</f>
        <v/>
      </c>
      <c r="F282">
        <f>HYPERLINK("http://gitlab.osmosys.co/incident-reporter/incident-reporter-angular-portal/-/merge_requests/3385", "feat: add user consent static field")</f>
        <v/>
      </c>
      <c r="G282" t="inlineStr">
        <is>
          <t>feat/user-consent</t>
        </is>
      </c>
      <c r="H282" t="inlineStr">
        <is>
          <t>sprint-17</t>
        </is>
      </c>
      <c r="I282" t="inlineStr">
        <is>
          <t>merged</t>
        </is>
      </c>
      <c r="J282" t="inlineStr">
        <is>
          <t>6009af760c9c1be32d73d49b4e2a5f18e02cf90d</t>
        </is>
      </c>
      <c r="K282">
        <f>HYPERLINK("http://gitlab.osmosys.co/incident-reporter/incident-reporter-angular-portal/-/merge_requests/3385#note_233217", "Can you use switch case to reduce the code repetition?")</f>
        <v/>
      </c>
      <c r="L282" t="inlineStr">
        <is>
          <t>2025-07-08 17:48:15.752 IST</t>
        </is>
      </c>
      <c r="M282" t="inlineStr">
        <is>
          <t>Soundariya B</t>
        </is>
      </c>
      <c r="N282" t="inlineStr">
        <is>
          <t>Yes</t>
        </is>
      </c>
      <c r="O282" t="inlineStr">
        <is>
          <t>Yes</t>
        </is>
      </c>
      <c r="P282" t="inlineStr">
        <is>
          <t>Soundariya B</t>
        </is>
      </c>
      <c r="Q282" t="inlineStr">
        <is>
          <t>Bad</t>
        </is>
      </c>
    </row>
    <row r="283">
      <c r="A283" t="inlineStr">
        <is>
          <t>shreya.v</t>
        </is>
      </c>
      <c r="B283" t="inlineStr">
        <is>
          <t>Shreya Ved</t>
        </is>
      </c>
      <c r="C283" t="inlineStr">
        <is>
          <t>shreya.v@osmosys.co</t>
        </is>
      </c>
      <c r="D283" t="inlineStr">
        <is>
          <t>incident-reporter</t>
        </is>
      </c>
      <c r="E283">
        <f>HYPERLINK("http://gitlab.osmosys.co/incident-reporter/incident-reporter-angular-portal", "OQSHA Portal")</f>
        <v/>
      </c>
      <c r="F283">
        <f>HYPERLINK("http://gitlab.osmosys.co/incident-reporter/incident-reporter-angular-portal/-/merge_requests/3385", "feat: add user consent static field")</f>
        <v/>
      </c>
      <c r="G283" t="inlineStr">
        <is>
          <t>feat/user-consent</t>
        </is>
      </c>
      <c r="H283" t="inlineStr">
        <is>
          <t>sprint-17</t>
        </is>
      </c>
      <c r="I283" t="inlineStr">
        <is>
          <t>merged</t>
        </is>
      </c>
      <c r="J283" t="inlineStr">
        <is>
          <t>6009af760c9c1be32d73d49b4e2a5f18e02cf90d</t>
        </is>
      </c>
      <c r="K283">
        <f>HYPERLINK("http://gitlab.osmosys.co/incident-reporter/incident-reporter-angular-portal/-/merge_requests/3385#note_233304", "ok")</f>
        <v/>
      </c>
      <c r="L283" t="inlineStr">
        <is>
          <t>2025-07-08 20:07:47.092 IST</t>
        </is>
      </c>
      <c r="M283" t="inlineStr">
        <is>
          <t>Shreya Ved</t>
        </is>
      </c>
      <c r="N283" t="inlineStr">
        <is>
          <t>No</t>
        </is>
      </c>
      <c r="O283" t="inlineStr">
        <is>
          <t>Yes</t>
        </is>
      </c>
      <c r="P283" t="inlineStr">
        <is>
          <t>Soundariya B</t>
        </is>
      </c>
      <c r="Q283" t="inlineStr">
        <is>
          <t>Bad</t>
        </is>
      </c>
    </row>
    <row r="284">
      <c r="A284" t="inlineStr">
        <is>
          <t>shreya.v</t>
        </is>
      </c>
      <c r="B284" t="inlineStr">
        <is>
          <t>Shreya Ved</t>
        </is>
      </c>
      <c r="C284" t="inlineStr">
        <is>
          <t>shreya.v@osmosys.co</t>
        </is>
      </c>
      <c r="D284" t="inlineStr">
        <is>
          <t>incident-reporter</t>
        </is>
      </c>
      <c r="E284">
        <f>HYPERLINK("http://gitlab.osmosys.co/incident-reporter/incident-reporter-angular-portal", "OQSHA Portal")</f>
        <v/>
      </c>
      <c r="F284">
        <f>HYPERLINK("http://gitlab.osmosys.co/incident-reporter/incident-reporter-angular-portal/-/merge_requests/3382", "feat: optimize dropdowns of portal")</f>
        <v/>
      </c>
      <c r="G284" t="inlineStr">
        <is>
          <t>feat/dropdown-portal</t>
        </is>
      </c>
      <c r="H284" t="inlineStr">
        <is>
          <t>sprint-17</t>
        </is>
      </c>
      <c r="I284" t="inlineStr">
        <is>
          <t>merged</t>
        </is>
      </c>
      <c r="J284" t="inlineStr">
        <is>
          <t>6a5272aea104a5c0353b01271444a516969676bc</t>
        </is>
      </c>
      <c r="K284">
        <f>HYPERLINK("http://gitlab.osmosys.co/incident-reporter/incident-reporter-angular-portal/-/merge_requests/3382#note_233300", "Old test case attached")</f>
        <v/>
      </c>
      <c r="L284" t="inlineStr">
        <is>
          <t>2025-07-08 20:04:43.588 IST</t>
        </is>
      </c>
      <c r="M284" t="inlineStr">
        <is>
          <t>Soundariya B</t>
        </is>
      </c>
      <c r="N284" t="inlineStr">
        <is>
          <t>Yes</t>
        </is>
      </c>
      <c r="O284" t="inlineStr">
        <is>
          <t>Yes</t>
        </is>
      </c>
      <c r="P284" t="inlineStr">
        <is>
          <t>Soundariya B</t>
        </is>
      </c>
      <c r="Q284" t="inlineStr">
        <is>
          <t>Bad</t>
        </is>
      </c>
    </row>
    <row r="285">
      <c r="A285" t="inlineStr">
        <is>
          <t>shreya.v</t>
        </is>
      </c>
      <c r="B285" t="inlineStr">
        <is>
          <t>Shreya Ved</t>
        </is>
      </c>
      <c r="C285" t="inlineStr">
        <is>
          <t>shreya.v@osmosys.co</t>
        </is>
      </c>
      <c r="D285" t="inlineStr">
        <is>
          <t>incident-reporter</t>
        </is>
      </c>
      <c r="E285">
        <f>HYPERLINK("http://gitlab.osmosys.co/incident-reporter/incident-reporter-angular-portal", "OQSHA Portal")</f>
        <v/>
      </c>
      <c r="F285">
        <f>HYPERLINK("http://gitlab.osmosys.co/incident-reporter/incident-reporter-angular-portal/-/merge_requests/3382", "feat: optimize dropdowns of portal")</f>
        <v/>
      </c>
      <c r="G285" t="inlineStr">
        <is>
          <t>feat/dropdown-portal</t>
        </is>
      </c>
      <c r="H285" t="inlineStr">
        <is>
          <t>sprint-17</t>
        </is>
      </c>
      <c r="I285" t="inlineStr">
        <is>
          <t>merged</t>
        </is>
      </c>
      <c r="J285" t="inlineStr">
        <is>
          <t>6a5272aea104a5c0353b01271444a516969676bc</t>
        </is>
      </c>
      <c r="K285">
        <f>HYPERLINK("http://gitlab.osmosys.co/incident-reporter/incident-reporter-angular-portal/-/merge_requests/3382#note_233311", "I have already attached updated the test case module names and date . I am doing the same thing same dropdown optimization , same thing should be checked. how will I generate new testcase?")</f>
        <v/>
      </c>
      <c r="L285" t="inlineStr">
        <is>
          <t>2025-07-08 20:16:05.110 IST</t>
        </is>
      </c>
      <c r="M285" t="inlineStr">
        <is>
          <t>Shreya Ved</t>
        </is>
      </c>
      <c r="N285" t="inlineStr">
        <is>
          <t>No</t>
        </is>
      </c>
      <c r="O285" t="inlineStr">
        <is>
          <t>Yes</t>
        </is>
      </c>
      <c r="P285" t="inlineStr">
        <is>
          <t>Soundariya B</t>
        </is>
      </c>
      <c r="Q285" t="inlineStr">
        <is>
          <t>Bad</t>
        </is>
      </c>
    </row>
    <row r="286">
      <c r="A286" t="inlineStr">
        <is>
          <t>shreya.v</t>
        </is>
      </c>
      <c r="B286" t="inlineStr">
        <is>
          <t>Shreya Ved</t>
        </is>
      </c>
      <c r="C286" t="inlineStr">
        <is>
          <t>shreya.v@osmosys.co</t>
        </is>
      </c>
      <c r="D286" t="inlineStr">
        <is>
          <t>incident-reporter</t>
        </is>
      </c>
      <c r="E286">
        <f>HYPERLINK("http://gitlab.osmosys.co/incident-reporter/incident-reporter-angular-portal", "OQSHA Portal")</f>
        <v/>
      </c>
      <c r="F286">
        <f>HYPERLINK("http://gitlab.osmosys.co/incident-reporter/incident-reporter-angular-portal/-/merge_requests/3382", "feat: optimize dropdowns of portal")</f>
        <v/>
      </c>
      <c r="G286" t="inlineStr">
        <is>
          <t>feat/dropdown-portal</t>
        </is>
      </c>
      <c r="H286" t="inlineStr">
        <is>
          <t>sprint-17</t>
        </is>
      </c>
      <c r="I286" t="inlineStr">
        <is>
          <t>merged</t>
        </is>
      </c>
      <c r="J286" t="inlineStr">
        <is>
          <t>6a5272aea104a5c0353b01271444a516969676bc</t>
        </is>
      </c>
      <c r="K286">
        <f>HYPERLINK("http://gitlab.osmosys.co/incident-reporter/incident-reporter-angular-portal/-/merge_requests/3382#note_233348", "![image](/uploads/f96d6dfa0f391aaaf99b49f3c9d7c055/image.png)
First check the sheet then please mention your comments, as per test case the attached SS payloads are not matching")</f>
        <v/>
      </c>
      <c r="L286" t="inlineStr">
        <is>
          <t>2025-07-09 02:06:27.192 IST</t>
        </is>
      </c>
      <c r="M286" t="inlineStr">
        <is>
          <t>Soundariya B</t>
        </is>
      </c>
      <c r="N286" t="inlineStr">
        <is>
          <t>Yes</t>
        </is>
      </c>
      <c r="O286" t="inlineStr">
        <is>
          <t>Yes</t>
        </is>
      </c>
      <c r="P286" t="inlineStr">
        <is>
          <t>Soundariya B</t>
        </is>
      </c>
      <c r="Q286" t="inlineStr">
        <is>
          <t>Bad</t>
        </is>
      </c>
    </row>
    <row r="287">
      <c r="A287" t="inlineStr">
        <is>
          <t>shreya.v</t>
        </is>
      </c>
      <c r="B287" t="inlineStr">
        <is>
          <t>Shreya Ved</t>
        </is>
      </c>
      <c r="C287" t="inlineStr">
        <is>
          <t>shreya.v@osmosys.co</t>
        </is>
      </c>
      <c r="D287" t="inlineStr">
        <is>
          <t>incident-reporter</t>
        </is>
      </c>
      <c r="E287">
        <f>HYPERLINK("http://gitlab.osmosys.co/incident-reporter/incident-reporter-angular-portal", "OQSHA Portal")</f>
        <v/>
      </c>
      <c r="F287">
        <f>HYPERLINK("http://gitlab.osmosys.co/incident-reporter/incident-reporter-angular-portal/-/merge_requests/3382", "feat: optimize dropdowns of portal")</f>
        <v/>
      </c>
      <c r="G287" t="inlineStr">
        <is>
          <t>feat/dropdown-portal</t>
        </is>
      </c>
      <c r="H287" t="inlineStr">
        <is>
          <t>sprint-17</t>
        </is>
      </c>
      <c r="I287" t="inlineStr">
        <is>
          <t>merged</t>
        </is>
      </c>
      <c r="J287" t="inlineStr">
        <is>
          <t>6a5272aea104a5c0353b01271444a516969676bc</t>
        </is>
      </c>
      <c r="K287">
        <f>HYPERLINK("http://gitlab.osmosys.co/incident-reporter/incident-reporter-angular-portal/-/merge_requests/3382#note_233350", "Empty [ ] in query params means nothing should go in payload, it is already understandable. Moreover these sheets are not accessible by QAs. Updated.")</f>
        <v/>
      </c>
      <c r="L287" t="inlineStr">
        <is>
          <t>2025-07-09 09:24:59.763 IST</t>
        </is>
      </c>
      <c r="M287" t="inlineStr">
        <is>
          <t>Shreya Ved</t>
        </is>
      </c>
      <c r="N287" t="inlineStr">
        <is>
          <t>No</t>
        </is>
      </c>
      <c r="O287" t="inlineStr">
        <is>
          <t>Yes</t>
        </is>
      </c>
      <c r="P287" t="inlineStr">
        <is>
          <t>Soundariya B</t>
        </is>
      </c>
      <c r="Q287" t="inlineStr">
        <is>
          <t>Bad</t>
        </is>
      </c>
    </row>
    <row r="288">
      <c r="A288" t="inlineStr">
        <is>
          <t>shreya.v</t>
        </is>
      </c>
      <c r="B288" t="inlineStr">
        <is>
          <t>Shreya Ved</t>
        </is>
      </c>
      <c r="C288" t="inlineStr">
        <is>
          <t>shreya.v@osmosys.co</t>
        </is>
      </c>
      <c r="D288" t="inlineStr">
        <is>
          <t>incident-reporter</t>
        </is>
      </c>
      <c r="E288">
        <f>HYPERLINK("http://gitlab.osmosys.co/incident-reporter/incident-reporter-angular-portal", "OQSHA Portal")</f>
        <v/>
      </c>
      <c r="F288">
        <f>HYPERLINK("http://gitlab.osmosys.co/incident-reporter/incident-reporter-angular-portal/-/merge_requests/3382", "feat: optimize dropdowns of portal")</f>
        <v/>
      </c>
      <c r="G288" t="inlineStr">
        <is>
          <t>feat/dropdown-portal</t>
        </is>
      </c>
      <c r="H288" t="inlineStr">
        <is>
          <t>sprint-17</t>
        </is>
      </c>
      <c r="I288" t="inlineStr">
        <is>
          <t>merged</t>
        </is>
      </c>
      <c r="J288" t="inlineStr">
        <is>
          <t>6a5272aea104a5c0353b01271444a516969676bc</t>
        </is>
      </c>
      <c r="K288">
        <f>HYPERLINK("http://gitlab.osmosys.co/incident-reporter/incident-reporter-angular-portal/-/merge_requests/3382#note_233847", "I remembered earlier you are passing empty array for select all and unselect all but now as per changes you are not passing anything in this case so that test case sheet has to be updated, anyway its updated and fine now.")</f>
        <v/>
      </c>
      <c r="L288" t="inlineStr">
        <is>
          <t>2025-07-09 21:45:50.763 IST</t>
        </is>
      </c>
      <c r="M288" t="inlineStr">
        <is>
          <t>Soundariya B</t>
        </is>
      </c>
      <c r="N288" t="inlineStr">
        <is>
          <t>Yes</t>
        </is>
      </c>
      <c r="O288" t="inlineStr">
        <is>
          <t>Yes</t>
        </is>
      </c>
      <c r="P288" t="inlineStr">
        <is>
          <t>Soundariya B</t>
        </is>
      </c>
      <c r="Q288" t="inlineStr">
        <is>
          <t>Bad</t>
        </is>
      </c>
    </row>
    <row r="289">
      <c r="A289" t="inlineStr">
        <is>
          <t>shreya.v</t>
        </is>
      </c>
      <c r="B289" t="inlineStr">
        <is>
          <t>Shreya Ved</t>
        </is>
      </c>
      <c r="C289" t="inlineStr">
        <is>
          <t>shreya.v@osmosys.co</t>
        </is>
      </c>
      <c r="D289" t="inlineStr">
        <is>
          <t>incident-reporter</t>
        </is>
      </c>
      <c r="E289">
        <f>HYPERLINK("http://gitlab.osmosys.co/incident-reporter/incident-reporter-angular-portal", "OQSHA Portal")</f>
        <v/>
      </c>
      <c r="F289">
        <f>HYPERLINK("http://gitlab.osmosys.co/incident-reporter/incident-reporter-angular-portal/-/merge_requests/3382", "feat: optimize dropdowns of portal")</f>
        <v/>
      </c>
      <c r="G289" t="inlineStr">
        <is>
          <t>feat/dropdown-portal</t>
        </is>
      </c>
      <c r="H289" t="inlineStr">
        <is>
          <t>sprint-17</t>
        </is>
      </c>
      <c r="I289" t="inlineStr">
        <is>
          <t>merged</t>
        </is>
      </c>
      <c r="J289" t="inlineStr">
        <is>
          <t>e6884b3227e5e2bb27ad655980d8aa54bff30df2</t>
        </is>
      </c>
      <c r="K289">
        <f>HYPERLINK("http://gitlab.osmosys.co/incident-reporter/incident-reporter-angular-portal/-/merge_requests/3382#note_233301", "Get the hardcoded value from lang files")</f>
        <v/>
      </c>
      <c r="L289" t="inlineStr">
        <is>
          <t>2025-07-08 20:04:43.664 IST</t>
        </is>
      </c>
      <c r="M289" t="inlineStr">
        <is>
          <t>Soundariya B</t>
        </is>
      </c>
      <c r="N289" t="inlineStr">
        <is>
          <t>Yes</t>
        </is>
      </c>
      <c r="O289" t="inlineStr">
        <is>
          <t>Yes</t>
        </is>
      </c>
      <c r="P289" t="inlineStr">
        <is>
          <t>Soundariya B</t>
        </is>
      </c>
      <c r="Q289" t="inlineStr">
        <is>
          <t>Bad</t>
        </is>
      </c>
    </row>
    <row r="290">
      <c r="A290" t="inlineStr">
        <is>
          <t>shreya.v</t>
        </is>
      </c>
      <c r="B290" t="inlineStr">
        <is>
          <t>Shreya Ved</t>
        </is>
      </c>
      <c r="C290" t="inlineStr">
        <is>
          <t>shreya.v@osmosys.co</t>
        </is>
      </c>
      <c r="D290" t="inlineStr">
        <is>
          <t>incident-reporter</t>
        </is>
      </c>
      <c r="E290">
        <f>HYPERLINK("http://gitlab.osmosys.co/incident-reporter/incident-reporter-angular-portal", "OQSHA Portal")</f>
        <v/>
      </c>
      <c r="F290">
        <f>HYPERLINK("http://gitlab.osmosys.co/incident-reporter/incident-reporter-angular-portal/-/merge_requests/3382", "feat: optimize dropdowns of portal")</f>
        <v/>
      </c>
      <c r="G290" t="inlineStr">
        <is>
          <t>feat/dropdown-portal</t>
        </is>
      </c>
      <c r="H290" t="inlineStr">
        <is>
          <t>sprint-17</t>
        </is>
      </c>
      <c r="I290" t="inlineStr">
        <is>
          <t>merged</t>
        </is>
      </c>
      <c r="J290" t="inlineStr">
        <is>
          <t>e6884b3227e5e2bb27ad655980d8aa54bff30df2</t>
        </is>
      </c>
      <c r="K290">
        <f>HYPERLINK("http://gitlab.osmosys.co/incident-reporter/incident-reporter-angular-portal/-/merge_requests/3382#note_233312", "ok")</f>
        <v/>
      </c>
      <c r="L290" t="inlineStr">
        <is>
          <t>2025-07-08 20:27:15.027 IST</t>
        </is>
      </c>
      <c r="M290" t="inlineStr">
        <is>
          <t>Shreya Ved</t>
        </is>
      </c>
      <c r="N290" t="inlineStr">
        <is>
          <t>No</t>
        </is>
      </c>
      <c r="O290" t="inlineStr">
        <is>
          <t>Yes</t>
        </is>
      </c>
      <c r="P290" t="inlineStr">
        <is>
          <t>Soundariya B</t>
        </is>
      </c>
      <c r="Q290" t="inlineStr">
        <is>
          <t>Bad</t>
        </is>
      </c>
    </row>
    <row r="291">
      <c r="A291" t="inlineStr">
        <is>
          <t>shreya.v</t>
        </is>
      </c>
      <c r="B291" t="inlineStr">
        <is>
          <t>Shreya Ved</t>
        </is>
      </c>
      <c r="C291" t="inlineStr">
        <is>
          <t>shreya.v@osmosys.co</t>
        </is>
      </c>
      <c r="D291" t="inlineStr">
        <is>
          <t>incident-reporter</t>
        </is>
      </c>
      <c r="E291">
        <f>HYPERLINK("http://gitlab.osmosys.co/incident-reporter/incident-reporter-angular-portal", "OQSHA Portal")</f>
        <v/>
      </c>
      <c r="F291">
        <f>HYPERLINK("http://gitlab.osmosys.co/incident-reporter/incident-reporter-angular-portal/-/merge_requests/3371", "fix: fix the dropdown optimization of inspection, ppe, heatmap")</f>
        <v/>
      </c>
      <c r="G291" t="inlineStr">
        <is>
          <t>fix/inspection-ppe-heatmap-dropdown</t>
        </is>
      </c>
      <c r="H291" t="inlineStr">
        <is>
          <t>sprint-16</t>
        </is>
      </c>
      <c r="I291" t="inlineStr">
        <is>
          <t>merged</t>
        </is>
      </c>
      <c r="J291" t="inlineStr"/>
      <c r="K291" t="inlineStr"/>
      <c r="L291" t="inlineStr"/>
      <c r="M291" t="inlineStr"/>
      <c r="N291" t="inlineStr"/>
      <c r="O291" t="inlineStr"/>
      <c r="P291" t="inlineStr"/>
      <c r="Q291" t="inlineStr"/>
    </row>
    <row r="292">
      <c r="A292" t="inlineStr">
        <is>
          <t>shreya.v</t>
        </is>
      </c>
      <c r="B292" t="inlineStr">
        <is>
          <t>Shreya Ved</t>
        </is>
      </c>
      <c r="C292" t="inlineStr">
        <is>
          <t>shreya.v@osmosys.co</t>
        </is>
      </c>
      <c r="D292" t="inlineStr">
        <is>
          <t>incident-reporter</t>
        </is>
      </c>
      <c r="E292">
        <f>HYPERLINK("http://gitlab.osmosys.co/incident-reporter/incident-reporter-app", "OQSHA Mobile App")</f>
        <v/>
      </c>
      <c r="F292">
        <f>HYPERLINK("http://gitlab.osmosys.co/incident-reporter/incident-reporter-app/-/merge_requests/1808", "feat: hide flag for similar incidents on app")</f>
        <v/>
      </c>
      <c r="G292" t="inlineStr">
        <is>
          <t>feat/remove-similar-incidents-app</t>
        </is>
      </c>
      <c r="H292" t="inlineStr">
        <is>
          <t>sprint-18</t>
        </is>
      </c>
      <c r="I292" t="inlineStr">
        <is>
          <t>opened</t>
        </is>
      </c>
      <c r="J292" t="inlineStr">
        <is>
          <t>77bc5c0ca3652989a75c3f18410929a6c45bbdde</t>
        </is>
      </c>
      <c r="K292">
        <f>HYPERLINK("http://gitlab.osmosys.co/incident-reporter/incident-reporter-app/-/merge_requests/1808#note_240893", "Remove the commented code from this file if needed then will get from this commit or PR")</f>
        <v/>
      </c>
      <c r="L292" t="inlineStr">
        <is>
          <t>2025-07-23 16:35:47.573 IST</t>
        </is>
      </c>
      <c r="M292" t="inlineStr">
        <is>
          <t>Soundariya B</t>
        </is>
      </c>
      <c r="N292" t="inlineStr">
        <is>
          <t>Yes</t>
        </is>
      </c>
      <c r="O292" t="inlineStr">
        <is>
          <t>Yes</t>
        </is>
      </c>
      <c r="P292" t="inlineStr">
        <is>
          <t>Soundariya B</t>
        </is>
      </c>
      <c r="Q292" t="inlineStr">
        <is>
          <t>Bad</t>
        </is>
      </c>
    </row>
    <row r="293">
      <c r="A293" t="inlineStr">
        <is>
          <t>shreya.v</t>
        </is>
      </c>
      <c r="B293" t="inlineStr">
        <is>
          <t>Shreya Ved</t>
        </is>
      </c>
      <c r="C293" t="inlineStr">
        <is>
          <t>shreya.v@osmosys.co</t>
        </is>
      </c>
      <c r="D293" t="inlineStr">
        <is>
          <t>incident-reporter</t>
        </is>
      </c>
      <c r="E293">
        <f>HYPERLINK("http://gitlab.osmosys.co/incident-reporter/incident-reporter-app", "OQSHA Mobile App")</f>
        <v/>
      </c>
      <c r="F293">
        <f>HYPERLINK("http://gitlab.osmosys.co/incident-reporter/incident-reporter-app/-/merge_requests/1808", "feat: hide flag for similar incidents on app")</f>
        <v/>
      </c>
      <c r="G293" t="inlineStr">
        <is>
          <t>feat/remove-similar-incidents-app</t>
        </is>
      </c>
      <c r="H293" t="inlineStr">
        <is>
          <t>sprint-18</t>
        </is>
      </c>
      <c r="I293" t="inlineStr">
        <is>
          <t>opened</t>
        </is>
      </c>
      <c r="J293" t="inlineStr">
        <is>
          <t>77bc5c0ca3652989a75c3f18410929a6c45bbdde</t>
        </is>
      </c>
      <c r="K293">
        <f>HYPERLINK("http://gitlab.osmosys.co/incident-reporter/incident-reporter-app/-/merge_requests/1808#note_241483", "ok")</f>
        <v/>
      </c>
      <c r="L293" t="inlineStr">
        <is>
          <t>2025-07-24 17:31:53.880 IST</t>
        </is>
      </c>
      <c r="M293" t="inlineStr">
        <is>
          <t>Shreya Ved</t>
        </is>
      </c>
      <c r="N293" t="inlineStr">
        <is>
          <t>No</t>
        </is>
      </c>
      <c r="O293" t="inlineStr">
        <is>
          <t>Yes</t>
        </is>
      </c>
      <c r="P293" t="inlineStr">
        <is>
          <t>Soundariya B</t>
        </is>
      </c>
      <c r="Q293" t="inlineStr">
        <is>
          <t>Bad</t>
        </is>
      </c>
    </row>
    <row r="294">
      <c r="A294" t="inlineStr">
        <is>
          <t>shreya.v</t>
        </is>
      </c>
      <c r="B294" t="inlineStr">
        <is>
          <t>Shreya Ved</t>
        </is>
      </c>
      <c r="C294" t="inlineStr">
        <is>
          <t>shreya.v@osmosys.co</t>
        </is>
      </c>
      <c r="D294" t="inlineStr">
        <is>
          <t>incident-reporter</t>
        </is>
      </c>
      <c r="E294">
        <f>HYPERLINK("http://gitlab.osmosys.co/incident-reporter/incident-reporter-app", "OQSHA Mobile App")</f>
        <v/>
      </c>
      <c r="F294">
        <f>HYPERLINK("http://gitlab.osmosys.co/incident-reporter/incident-reporter-app/-/merge_requests/1808", "feat: hide flag for similar incidents on app")</f>
        <v/>
      </c>
      <c r="G294" t="inlineStr">
        <is>
          <t>feat/remove-similar-incidents-app</t>
        </is>
      </c>
      <c r="H294" t="inlineStr">
        <is>
          <t>sprint-18</t>
        </is>
      </c>
      <c r="I294" t="inlineStr">
        <is>
          <t>opened</t>
        </is>
      </c>
      <c r="J294" t="inlineStr">
        <is>
          <t>02355b4360c221e4108ec31ef2561beb7470de7e</t>
        </is>
      </c>
      <c r="K294">
        <f>HYPERLINK("http://gitlab.osmosys.co/incident-reporter/incident-reporter-app/-/merge_requests/1808#note_240894", "Remove the commented code from this file if needed then will get from this commit or PR")</f>
        <v/>
      </c>
      <c r="L294" t="inlineStr">
        <is>
          <t>2025-07-23 16:35:47.650 IST</t>
        </is>
      </c>
      <c r="M294" t="inlineStr">
        <is>
          <t>Soundariya B</t>
        </is>
      </c>
      <c r="N294" t="inlineStr">
        <is>
          <t>Yes</t>
        </is>
      </c>
      <c r="O294" t="inlineStr">
        <is>
          <t>Yes</t>
        </is>
      </c>
      <c r="P294" t="inlineStr">
        <is>
          <t>Soundariya B</t>
        </is>
      </c>
      <c r="Q294" t="inlineStr">
        <is>
          <t>Bad</t>
        </is>
      </c>
    </row>
    <row r="295">
      <c r="A295" t="inlineStr">
        <is>
          <t>shreya.v</t>
        </is>
      </c>
      <c r="B295" t="inlineStr">
        <is>
          <t>Shreya Ved</t>
        </is>
      </c>
      <c r="C295" t="inlineStr">
        <is>
          <t>shreya.v@osmosys.co</t>
        </is>
      </c>
      <c r="D295" t="inlineStr">
        <is>
          <t>incident-reporter</t>
        </is>
      </c>
      <c r="E295">
        <f>HYPERLINK("http://gitlab.osmosys.co/incident-reporter/incident-reporter-app", "OQSHA Mobile App")</f>
        <v/>
      </c>
      <c r="F295">
        <f>HYPERLINK("http://gitlab.osmosys.co/incident-reporter/incident-reporter-app/-/merge_requests/1808", "feat: hide flag for similar incidents on app")</f>
        <v/>
      </c>
      <c r="G295" t="inlineStr">
        <is>
          <t>feat/remove-similar-incidents-app</t>
        </is>
      </c>
      <c r="H295" t="inlineStr">
        <is>
          <t>sprint-18</t>
        </is>
      </c>
      <c r="I295" t="inlineStr">
        <is>
          <t>opened</t>
        </is>
      </c>
      <c r="J295" t="inlineStr">
        <is>
          <t>02355b4360c221e4108ec31ef2561beb7470de7e</t>
        </is>
      </c>
      <c r="K295">
        <f>HYPERLINK("http://gitlab.osmosys.co/incident-reporter/incident-reporter-app/-/merge_requests/1808#note_241484", "ok")</f>
        <v/>
      </c>
      <c r="L295" t="inlineStr">
        <is>
          <t>2025-07-24 17:31:56.204 IST</t>
        </is>
      </c>
      <c r="M295" t="inlineStr">
        <is>
          <t>Shreya Ved</t>
        </is>
      </c>
      <c r="N295" t="inlineStr">
        <is>
          <t>No</t>
        </is>
      </c>
      <c r="O295" t="inlineStr">
        <is>
          <t>Yes</t>
        </is>
      </c>
      <c r="P295" t="inlineStr">
        <is>
          <t>Soundariya B</t>
        </is>
      </c>
      <c r="Q295" t="inlineStr">
        <is>
          <t>Bad</t>
        </is>
      </c>
    </row>
    <row r="296">
      <c r="A296" t="inlineStr">
        <is>
          <t>shreya.v</t>
        </is>
      </c>
      <c r="B296" t="inlineStr">
        <is>
          <t>Shreya Ved</t>
        </is>
      </c>
      <c r="C296" t="inlineStr">
        <is>
          <t>shreya.v@osmosys.co</t>
        </is>
      </c>
      <c r="D296" t="inlineStr">
        <is>
          <t>incident-reporter</t>
        </is>
      </c>
      <c r="E296">
        <f>HYPERLINK("http://gitlab.osmosys.co/incident-reporter/incident-reporter-app", "OQSHA Mobile App")</f>
        <v/>
      </c>
      <c r="F296">
        <f>HYPERLINK("http://gitlab.osmosys.co/incident-reporter/incident-reporter-app/-/merge_requests/1786", "feat: add search functionality ptw company")</f>
        <v/>
      </c>
      <c r="G296" t="inlineStr">
        <is>
          <t>feat/search-ptw-company</t>
        </is>
      </c>
      <c r="H296" t="inlineStr">
        <is>
          <t>sprint-17</t>
        </is>
      </c>
      <c r="I296" t="inlineStr">
        <is>
          <t>merged</t>
        </is>
      </c>
      <c r="J296" t="inlineStr">
        <is>
          <t>4bd42adeb418ef7b5aaf8b0a996b2c0428911908</t>
        </is>
      </c>
      <c r="K296">
        <f>HYPERLINK("http://gitlab.osmosys.co/incident-reporter/incident-reporter-app/-/merge_requests/1786#note_237800", "Rename it - onSelectCompany")</f>
        <v/>
      </c>
      <c r="L296" t="inlineStr">
        <is>
          <t>2025-07-16 17:54:38.819 IST</t>
        </is>
      </c>
      <c r="M296" t="inlineStr">
        <is>
          <t>Soundariya B</t>
        </is>
      </c>
      <c r="N296" t="inlineStr">
        <is>
          <t>Yes</t>
        </is>
      </c>
      <c r="O296" t="inlineStr">
        <is>
          <t>Yes</t>
        </is>
      </c>
      <c r="P296" t="inlineStr">
        <is>
          <t>Soundariya B</t>
        </is>
      </c>
      <c r="Q296" t="inlineStr">
        <is>
          <t>Bad</t>
        </is>
      </c>
    </row>
    <row r="297">
      <c r="A297" t="inlineStr">
        <is>
          <t>shreya.v</t>
        </is>
      </c>
      <c r="B297" t="inlineStr">
        <is>
          <t>Shreya Ved</t>
        </is>
      </c>
      <c r="C297" t="inlineStr">
        <is>
          <t>shreya.v@osmosys.co</t>
        </is>
      </c>
      <c r="D297" t="inlineStr">
        <is>
          <t>incident-reporter</t>
        </is>
      </c>
      <c r="E297">
        <f>HYPERLINK("http://gitlab.osmosys.co/incident-reporter/incident-reporter-app", "OQSHA Mobile App")</f>
        <v/>
      </c>
      <c r="F297">
        <f>HYPERLINK("http://gitlab.osmosys.co/incident-reporter/incident-reporter-app/-/merge_requests/1786", "feat: add search functionality ptw company")</f>
        <v/>
      </c>
      <c r="G297" t="inlineStr">
        <is>
          <t>feat/search-ptw-company</t>
        </is>
      </c>
      <c r="H297" t="inlineStr">
        <is>
          <t>sprint-17</t>
        </is>
      </c>
      <c r="I297" t="inlineStr">
        <is>
          <t>merged</t>
        </is>
      </c>
      <c r="J297" t="inlineStr">
        <is>
          <t>4bd42adeb418ef7b5aaf8b0a996b2c0428911908</t>
        </is>
      </c>
      <c r="K297">
        <f>HYPERLINK("http://gitlab.osmosys.co/incident-reporter/incident-reporter-app/-/merge_requests/1786#note_237894", "ok")</f>
        <v/>
      </c>
      <c r="L297" t="inlineStr">
        <is>
          <t>2025-07-16 19:47:59.115 IST</t>
        </is>
      </c>
      <c r="M297" t="inlineStr">
        <is>
          <t>Shreya Ved</t>
        </is>
      </c>
      <c r="N297" t="inlineStr">
        <is>
          <t>No</t>
        </is>
      </c>
      <c r="O297" t="inlineStr">
        <is>
          <t>Yes</t>
        </is>
      </c>
      <c r="P297" t="inlineStr">
        <is>
          <t>Soundariya B</t>
        </is>
      </c>
      <c r="Q297" t="inlineStr">
        <is>
          <t>Bad</t>
        </is>
      </c>
    </row>
    <row r="298">
      <c r="A298" t="inlineStr">
        <is>
          <t>shreya.v</t>
        </is>
      </c>
      <c r="B298" t="inlineStr">
        <is>
          <t>Shreya Ved</t>
        </is>
      </c>
      <c r="C298" t="inlineStr">
        <is>
          <t>shreya.v@osmosys.co</t>
        </is>
      </c>
      <c r="D298" t="inlineStr">
        <is>
          <t>incident-reporter</t>
        </is>
      </c>
      <c r="E298">
        <f>HYPERLINK("http://gitlab.osmosys.co/incident-reporter/incident-reporter-app", "OQSHA Mobile App")</f>
        <v/>
      </c>
      <c r="F298">
        <f>HYPERLINK("http://gitlab.osmosys.co/incident-reporter/incident-reporter-app/-/merge_requests/1786", "feat: add search functionality ptw company")</f>
        <v/>
      </c>
      <c r="G298" t="inlineStr">
        <is>
          <t>feat/search-ptw-company</t>
        </is>
      </c>
      <c r="H298" t="inlineStr">
        <is>
          <t>sprint-17</t>
        </is>
      </c>
      <c r="I298" t="inlineStr">
        <is>
          <t>merged</t>
        </is>
      </c>
      <c r="J298" t="inlineStr">
        <is>
          <t>7b9fea18056b5638f9ade886811eab24196be147</t>
        </is>
      </c>
      <c r="K298">
        <f>HYPERLINK("http://gitlab.osmosys.co/incident-reporter/incident-reporter-app/-/merge_requests/1786#note_237801", "This should take from lang files")</f>
        <v/>
      </c>
      <c r="L298" t="inlineStr">
        <is>
          <t>2025-07-16 17:54:38.884 IST</t>
        </is>
      </c>
      <c r="M298" t="inlineStr">
        <is>
          <t>Soundariya B</t>
        </is>
      </c>
      <c r="N298" t="inlineStr">
        <is>
          <t>Yes</t>
        </is>
      </c>
      <c r="O298" t="inlineStr">
        <is>
          <t>Yes</t>
        </is>
      </c>
      <c r="P298" t="inlineStr">
        <is>
          <t>Soundariya B</t>
        </is>
      </c>
      <c r="Q298" t="inlineStr">
        <is>
          <t>Neutral</t>
        </is>
      </c>
    </row>
    <row r="299">
      <c r="A299" t="inlineStr">
        <is>
          <t>shreya.v</t>
        </is>
      </c>
      <c r="B299" t="inlineStr">
        <is>
          <t>Shreya Ved</t>
        </is>
      </c>
      <c r="C299" t="inlineStr">
        <is>
          <t>shreya.v@osmosys.co</t>
        </is>
      </c>
      <c r="D299" t="inlineStr">
        <is>
          <t>incident-reporter</t>
        </is>
      </c>
      <c r="E299">
        <f>HYPERLINK("http://gitlab.osmosys.co/incident-reporter/incident-reporter-app", "OQSHA Mobile App")</f>
        <v/>
      </c>
      <c r="F299">
        <f>HYPERLINK("http://gitlab.osmosys.co/incident-reporter/incident-reporter-app/-/merge_requests/1786", "feat: add search functionality ptw company")</f>
        <v/>
      </c>
      <c r="G299" t="inlineStr">
        <is>
          <t>feat/search-ptw-company</t>
        </is>
      </c>
      <c r="H299" t="inlineStr">
        <is>
          <t>sprint-17</t>
        </is>
      </c>
      <c r="I299" t="inlineStr">
        <is>
          <t>merged</t>
        </is>
      </c>
      <c r="J299" t="inlineStr">
        <is>
          <t>7b9fea18056b5638f9ade886811eab24196be147</t>
        </is>
      </c>
      <c r="K299">
        <f>HYPERLINK("http://gitlab.osmosys.co/incident-reporter/incident-reporter-app/-/merge_requests/1786#note_237937", "It throws error as it is ion-select not ion-input. Also they are not shown on UI")</f>
        <v/>
      </c>
      <c r="L299" t="inlineStr">
        <is>
          <t>2025-07-16 21:56:10.834 IST</t>
        </is>
      </c>
      <c r="M299" t="inlineStr">
        <is>
          <t>Shreya Ved</t>
        </is>
      </c>
      <c r="N299" t="inlineStr">
        <is>
          <t>No</t>
        </is>
      </c>
      <c r="O299" t="inlineStr">
        <is>
          <t>Yes</t>
        </is>
      </c>
      <c r="P299" t="inlineStr">
        <is>
          <t>Soundariya B</t>
        </is>
      </c>
      <c r="Q299" t="inlineStr">
        <is>
          <t>Neutral</t>
        </is>
      </c>
    </row>
    <row r="300">
      <c r="A300" t="inlineStr">
        <is>
          <t>shreya.v</t>
        </is>
      </c>
      <c r="B300" t="inlineStr">
        <is>
          <t>Shreya Ved</t>
        </is>
      </c>
      <c r="C300" t="inlineStr">
        <is>
          <t>shreya.v@osmosys.co</t>
        </is>
      </c>
      <c r="D300" t="inlineStr">
        <is>
          <t>incident-reporter</t>
        </is>
      </c>
      <c r="E300">
        <f>HYPERLINK("http://gitlab.osmosys.co/incident-reporter/incident-reporter-app", "OQSHA Mobile App")</f>
        <v/>
      </c>
      <c r="F300">
        <f>HYPERLINK("http://gitlab.osmosys.co/incident-reporter/incident-reporter-app/-/merge_requests/1786", "feat: add search functionality ptw company")</f>
        <v/>
      </c>
      <c r="G300" t="inlineStr">
        <is>
          <t>feat/search-ptw-company</t>
        </is>
      </c>
      <c r="H300" t="inlineStr">
        <is>
          <t>sprint-17</t>
        </is>
      </c>
      <c r="I300" t="inlineStr">
        <is>
          <t>merged</t>
        </is>
      </c>
      <c r="J300" t="inlineStr">
        <is>
          <t>130b2c663cff49ddc16467b23973cc2c72adcfa2</t>
        </is>
      </c>
      <c r="K300">
        <f>HYPERLINK("http://gitlab.osmosys.co/incident-reporter/incident-reporter-app/-/merge_requests/1786#note_237802", "Rename it - openCompanyTypePopoverModal")</f>
        <v/>
      </c>
      <c r="L300" t="inlineStr">
        <is>
          <t>2025-07-16 17:54:38.977 IST</t>
        </is>
      </c>
      <c r="M300" t="inlineStr">
        <is>
          <t>Soundariya B</t>
        </is>
      </c>
      <c r="N300" t="inlineStr">
        <is>
          <t>Yes</t>
        </is>
      </c>
      <c r="O300" t="inlineStr">
        <is>
          <t>Yes</t>
        </is>
      </c>
      <c r="P300" t="inlineStr">
        <is>
          <t>Soundariya B</t>
        </is>
      </c>
      <c r="Q300" t="inlineStr">
        <is>
          <t>Neutral</t>
        </is>
      </c>
    </row>
    <row r="301">
      <c r="A301" t="inlineStr">
        <is>
          <t>shreya.v</t>
        </is>
      </c>
      <c r="B301" t="inlineStr">
        <is>
          <t>Shreya Ved</t>
        </is>
      </c>
      <c r="C301" t="inlineStr">
        <is>
          <t>shreya.v@osmosys.co</t>
        </is>
      </c>
      <c r="D301" t="inlineStr">
        <is>
          <t>incident-reporter</t>
        </is>
      </c>
      <c r="E301">
        <f>HYPERLINK("http://gitlab.osmosys.co/incident-reporter/incident-reporter-app", "OQSHA Mobile App")</f>
        <v/>
      </c>
      <c r="F301">
        <f>HYPERLINK("http://gitlab.osmosys.co/incident-reporter/incident-reporter-app/-/merge_requests/1786", "feat: add search functionality ptw company")</f>
        <v/>
      </c>
      <c r="G301" t="inlineStr">
        <is>
          <t>feat/search-ptw-company</t>
        </is>
      </c>
      <c r="H301" t="inlineStr">
        <is>
          <t>sprint-17</t>
        </is>
      </c>
      <c r="I301" t="inlineStr">
        <is>
          <t>merged</t>
        </is>
      </c>
      <c r="J301" t="inlineStr">
        <is>
          <t>130b2c663cff49ddc16467b23973cc2c72adcfa2</t>
        </is>
      </c>
      <c r="K301">
        <f>HYPERLINK("http://gitlab.osmosys.co/incident-reporter/incident-reporter-app/-/merge_requests/1786#note_237890", "This name was asked by Raj because that modal is called typeahead in ionic doc")</f>
        <v/>
      </c>
      <c r="L301" t="inlineStr">
        <is>
          <t>2025-07-16 19:42:53.799 IST</t>
        </is>
      </c>
      <c r="M301" t="inlineStr">
        <is>
          <t>Shreya Ved</t>
        </is>
      </c>
      <c r="N301" t="inlineStr">
        <is>
          <t>No</t>
        </is>
      </c>
      <c r="O301" t="inlineStr">
        <is>
          <t>Yes</t>
        </is>
      </c>
      <c r="P301" t="inlineStr">
        <is>
          <t>Soundariya B</t>
        </is>
      </c>
      <c r="Q301" t="inlineStr">
        <is>
          <t>Neutral</t>
        </is>
      </c>
    </row>
    <row r="302">
      <c r="A302" t="inlineStr">
        <is>
          <t>shreya.v</t>
        </is>
      </c>
      <c r="B302" t="inlineStr">
        <is>
          <t>Shreya Ved</t>
        </is>
      </c>
      <c r="C302" t="inlineStr">
        <is>
          <t>shreya.v@osmosys.co</t>
        </is>
      </c>
      <c r="D302" t="inlineStr">
        <is>
          <t>incident-reporter</t>
        </is>
      </c>
      <c r="E302">
        <f>HYPERLINK("http://gitlab.osmosys.co/incident-reporter/incident-reporter-app", "OQSHA Mobile App")</f>
        <v/>
      </c>
      <c r="F302">
        <f>HYPERLINK("http://gitlab.osmosys.co/incident-reporter/incident-reporter-app/-/merge_requests/1786", "feat: add search functionality ptw company")</f>
        <v/>
      </c>
      <c r="G302" t="inlineStr">
        <is>
          <t>feat/search-ptw-company</t>
        </is>
      </c>
      <c r="H302" t="inlineStr">
        <is>
          <t>sprint-17</t>
        </is>
      </c>
      <c r="I302" t="inlineStr">
        <is>
          <t>merged</t>
        </is>
      </c>
      <c r="J302" t="inlineStr">
        <is>
          <t>4fd885a190bec79746c6df47ee4019b24ee5a381</t>
        </is>
      </c>
      <c r="K302">
        <f>HYPERLINK("http://gitlab.osmosys.co/incident-reporter/incident-reporter-app/-/merge_requests/1786#note_237803", "As both functions code are same so can you use single function please")</f>
        <v/>
      </c>
      <c r="L302" t="inlineStr">
        <is>
          <t>2025-07-16 17:54:39.028 IST</t>
        </is>
      </c>
      <c r="M302" t="inlineStr">
        <is>
          <t>Soundariya B</t>
        </is>
      </c>
      <c r="N302" t="inlineStr">
        <is>
          <t>Yes</t>
        </is>
      </c>
      <c r="O302" t="inlineStr">
        <is>
          <t>Yes</t>
        </is>
      </c>
      <c r="P302" t="inlineStr">
        <is>
          <t>Soundariya B</t>
        </is>
      </c>
      <c r="Q302" t="inlineStr">
        <is>
          <t>Bad</t>
        </is>
      </c>
    </row>
    <row r="303">
      <c r="A303" t="inlineStr">
        <is>
          <t>shreya.v</t>
        </is>
      </c>
      <c r="B303" t="inlineStr">
        <is>
          <t>Shreya Ved</t>
        </is>
      </c>
      <c r="C303" t="inlineStr">
        <is>
          <t>shreya.v@osmosys.co</t>
        </is>
      </c>
      <c r="D303" t="inlineStr">
        <is>
          <t>incident-reporter</t>
        </is>
      </c>
      <c r="E303">
        <f>HYPERLINK("http://gitlab.osmosys.co/incident-reporter/incident-reporter-app", "OQSHA Mobile App")</f>
        <v/>
      </c>
      <c r="F303">
        <f>HYPERLINK("http://gitlab.osmosys.co/incident-reporter/incident-reporter-app/-/merge_requests/1786", "feat: add search functionality ptw company")</f>
        <v/>
      </c>
      <c r="G303" t="inlineStr">
        <is>
          <t>feat/search-ptw-company</t>
        </is>
      </c>
      <c r="H303" t="inlineStr">
        <is>
          <t>sprint-17</t>
        </is>
      </c>
      <c r="I303" t="inlineStr">
        <is>
          <t>merged</t>
        </is>
      </c>
      <c r="J303" t="inlineStr">
        <is>
          <t>4fd885a190bec79746c6df47ee4019b24ee5a381</t>
        </is>
      </c>
      <c r="K303">
        <f>HYPERLINK("http://gitlab.osmosys.co/incident-reporter/incident-reporter-app/-/merge_requests/1786#note_237893", "ok")</f>
        <v/>
      </c>
      <c r="L303" t="inlineStr">
        <is>
          <t>2025-07-16 19:47:10.007 IST</t>
        </is>
      </c>
      <c r="M303" t="inlineStr">
        <is>
          <t>Shreya Ved</t>
        </is>
      </c>
      <c r="N303" t="inlineStr">
        <is>
          <t>No</t>
        </is>
      </c>
      <c r="O303" t="inlineStr">
        <is>
          <t>Yes</t>
        </is>
      </c>
      <c r="P303" t="inlineStr">
        <is>
          <t>Soundariya B</t>
        </is>
      </c>
      <c r="Q303" t="inlineStr">
        <is>
          <t>Bad</t>
        </is>
      </c>
    </row>
    <row r="304">
      <c r="A304" t="inlineStr">
        <is>
          <t>shreya.v</t>
        </is>
      </c>
      <c r="B304" t="inlineStr">
        <is>
          <t>Shreya Ved</t>
        </is>
      </c>
      <c r="C304" t="inlineStr">
        <is>
          <t>shreya.v@osmosys.co</t>
        </is>
      </c>
      <c r="D304" t="inlineStr">
        <is>
          <t>incident-reporter</t>
        </is>
      </c>
      <c r="E304">
        <f>HYPERLINK("http://gitlab.osmosys.co/incident-reporter/incident-reporter-app", "OQSHA Mobile App")</f>
        <v/>
      </c>
      <c r="F304">
        <f>HYPERLINK("http://gitlab.osmosys.co/incident-reporter/incident-reporter-app/-/merge_requests/1786", "feat: add search functionality ptw company")</f>
        <v/>
      </c>
      <c r="G304" t="inlineStr">
        <is>
          <t>feat/search-ptw-company</t>
        </is>
      </c>
      <c r="H304" t="inlineStr">
        <is>
          <t>sprint-17</t>
        </is>
      </c>
      <c r="I304" t="inlineStr">
        <is>
          <t>merged</t>
        </is>
      </c>
      <c r="J304" t="inlineStr">
        <is>
          <t>ee919a1d14789ee2c72efee6b674015d8f852d13</t>
        </is>
      </c>
      <c r="K304">
        <f>HYPERLINK("http://gitlab.osmosys.co/incident-reporter/incident-reporter-app/-/merge_requests/1786#note_237804", "constants.CLIENT  - What is this? Don't use the constant for ngModel variable to get or set value, you can use directly")</f>
        <v/>
      </c>
      <c r="L304" t="inlineStr">
        <is>
          <t>2025-07-16 17:54:39.081 IST</t>
        </is>
      </c>
      <c r="M304" t="inlineStr">
        <is>
          <t>Soundariya B</t>
        </is>
      </c>
      <c r="N304" t="inlineStr">
        <is>
          <t>Yes</t>
        </is>
      </c>
      <c r="O304" t="inlineStr">
        <is>
          <t>Yes</t>
        </is>
      </c>
      <c r="P304" t="inlineStr">
        <is>
          <t>Soundariya B</t>
        </is>
      </c>
      <c r="Q304" t="inlineStr">
        <is>
          <t>Bad</t>
        </is>
      </c>
    </row>
    <row r="305">
      <c r="A305" t="inlineStr">
        <is>
          <t>shreya.v</t>
        </is>
      </c>
      <c r="B305" t="inlineStr">
        <is>
          <t>Shreya Ved</t>
        </is>
      </c>
      <c r="C305" t="inlineStr">
        <is>
          <t>shreya.v@osmosys.co</t>
        </is>
      </c>
      <c r="D305" t="inlineStr">
        <is>
          <t>incident-reporter</t>
        </is>
      </c>
      <c r="E305">
        <f>HYPERLINK("http://gitlab.osmosys.co/incident-reporter/incident-reporter-app", "OQSHA Mobile App")</f>
        <v/>
      </c>
      <c r="F305">
        <f>HYPERLINK("http://gitlab.osmosys.co/incident-reporter/incident-reporter-app/-/merge_requests/1786", "feat: add search functionality ptw company")</f>
        <v/>
      </c>
      <c r="G305" t="inlineStr">
        <is>
          <t>feat/search-ptw-company</t>
        </is>
      </c>
      <c r="H305" t="inlineStr">
        <is>
          <t>sprint-17</t>
        </is>
      </c>
      <c r="I305" t="inlineStr">
        <is>
          <t>merged</t>
        </is>
      </c>
      <c r="J305" t="inlineStr">
        <is>
          <t>ee919a1d14789ee2c72efee6b674015d8f852d13</t>
        </is>
      </c>
      <c r="K305">
        <f>HYPERLINK("http://gitlab.osmosys.co/incident-reporter/incident-reporter-app/-/merge_requests/1786#note_237892", "ok")</f>
        <v/>
      </c>
      <c r="L305" t="inlineStr">
        <is>
          <t>2025-07-16 19:47:02.220 IST</t>
        </is>
      </c>
      <c r="M305" t="inlineStr">
        <is>
          <t>Shreya Ved</t>
        </is>
      </c>
      <c r="N305" t="inlineStr">
        <is>
          <t>No</t>
        </is>
      </c>
      <c r="O305" t="inlineStr">
        <is>
          <t>Yes</t>
        </is>
      </c>
      <c r="P305" t="inlineStr">
        <is>
          <t>Soundariya B</t>
        </is>
      </c>
      <c r="Q305" t="inlineStr">
        <is>
          <t>Bad</t>
        </is>
      </c>
    </row>
    <row r="306">
      <c r="A306" t="inlineStr">
        <is>
          <t>shreya.v</t>
        </is>
      </c>
      <c r="B306" t="inlineStr">
        <is>
          <t>Shreya Ved</t>
        </is>
      </c>
      <c r="C306" t="inlineStr">
        <is>
          <t>shreya.v@osmosys.co</t>
        </is>
      </c>
      <c r="D306" t="inlineStr">
        <is>
          <t>incident-reporter</t>
        </is>
      </c>
      <c r="E306">
        <f>HYPERLINK("http://gitlab.osmosys.co/incident-reporter/incident-reporter-app", "OQSHA Mobile App")</f>
        <v/>
      </c>
      <c r="F306">
        <f>HYPERLINK("http://gitlab.osmosys.co/incident-reporter/incident-reporter-app/-/merge_requests/1786", "feat: add search functionality ptw company")</f>
        <v/>
      </c>
      <c r="G306" t="inlineStr">
        <is>
          <t>feat/search-ptw-company</t>
        </is>
      </c>
      <c r="H306" t="inlineStr">
        <is>
          <t>sprint-17</t>
        </is>
      </c>
      <c r="I306" t="inlineStr">
        <is>
          <t>merged</t>
        </is>
      </c>
      <c r="J306" t="inlineStr">
        <is>
          <t>31829b550f82cb7f94c84c5682ad08f600478eeb</t>
        </is>
      </c>
      <c r="K306">
        <f>HYPERLINK("http://gitlab.osmosys.co/incident-reporter/incident-reporter-app/-/merge_requests/1786#note_237805", "Maintain the letter casing please - Add new company +")</f>
        <v/>
      </c>
      <c r="L306" t="inlineStr">
        <is>
          <t>2025-07-16 17:54:39.168 IST</t>
        </is>
      </c>
      <c r="M306" t="inlineStr">
        <is>
          <t>Soundariya B</t>
        </is>
      </c>
      <c r="N306" t="inlineStr">
        <is>
          <t>Yes</t>
        </is>
      </c>
      <c r="O306" t="inlineStr">
        <is>
          <t>Yes</t>
        </is>
      </c>
      <c r="P306" t="inlineStr">
        <is>
          <t>Soundariya B</t>
        </is>
      </c>
      <c r="Q306" t="inlineStr">
        <is>
          <t>Bad</t>
        </is>
      </c>
    </row>
    <row r="307">
      <c r="A307" t="inlineStr">
        <is>
          <t>shreya.v</t>
        </is>
      </c>
      <c r="B307" t="inlineStr">
        <is>
          <t>Shreya Ved</t>
        </is>
      </c>
      <c r="C307" t="inlineStr">
        <is>
          <t>shreya.v@osmosys.co</t>
        </is>
      </c>
      <c r="D307" t="inlineStr">
        <is>
          <t>incident-reporter</t>
        </is>
      </c>
      <c r="E307">
        <f>HYPERLINK("http://gitlab.osmosys.co/incident-reporter/incident-reporter-app", "OQSHA Mobile App")</f>
        <v/>
      </c>
      <c r="F307">
        <f>HYPERLINK("http://gitlab.osmosys.co/incident-reporter/incident-reporter-app/-/merge_requests/1786", "feat: add search functionality ptw company")</f>
        <v/>
      </c>
      <c r="G307" t="inlineStr">
        <is>
          <t>feat/search-ptw-company</t>
        </is>
      </c>
      <c r="H307" t="inlineStr">
        <is>
          <t>sprint-17</t>
        </is>
      </c>
      <c r="I307" t="inlineStr">
        <is>
          <t>merged</t>
        </is>
      </c>
      <c r="J307" t="inlineStr">
        <is>
          <t>31829b550f82cb7f94c84c5682ad08f600478eeb</t>
        </is>
      </c>
      <c r="K307">
        <f>HYPERLINK("http://gitlab.osmosys.co/incident-reporter/incident-reporter-app/-/merge_requests/1786#note_237891", "ok")</f>
        <v/>
      </c>
      <c r="L307" t="inlineStr">
        <is>
          <t>2025-07-16 19:44:18.592 IST</t>
        </is>
      </c>
      <c r="M307" t="inlineStr">
        <is>
          <t>Shreya Ved</t>
        </is>
      </c>
      <c r="N307" t="inlineStr">
        <is>
          <t>No</t>
        </is>
      </c>
      <c r="O307" t="inlineStr">
        <is>
          <t>Yes</t>
        </is>
      </c>
      <c r="P307" t="inlineStr">
        <is>
          <t>Soundariya B</t>
        </is>
      </c>
      <c r="Q307" t="inlineStr">
        <is>
          <t>Bad</t>
        </is>
      </c>
    </row>
    <row r="308">
      <c r="A308" t="inlineStr">
        <is>
          <t>shreya.v</t>
        </is>
      </c>
      <c r="B308" t="inlineStr">
        <is>
          <t>Shreya Ved</t>
        </is>
      </c>
      <c r="C308" t="inlineStr">
        <is>
          <t>shreya.v@osmosys.co</t>
        </is>
      </c>
      <c r="D308" t="inlineStr">
        <is>
          <t>incident-reporter</t>
        </is>
      </c>
      <c r="E308">
        <f>HYPERLINK("http://gitlab.osmosys.co/incident-reporter/incident-reporter-app", "OQSHA Mobile App")</f>
        <v/>
      </c>
      <c r="F308">
        <f>HYPERLINK("http://gitlab.osmosys.co/incident-reporter/incident-reporter-app/-/merge_requests/1786", "feat: add search functionality ptw company")</f>
        <v/>
      </c>
      <c r="G308" t="inlineStr">
        <is>
          <t>feat/search-ptw-company</t>
        </is>
      </c>
      <c r="H308" t="inlineStr">
        <is>
          <t>sprint-17</t>
        </is>
      </c>
      <c r="I308" t="inlineStr">
        <is>
          <t>merged</t>
        </is>
      </c>
      <c r="J308" t="inlineStr">
        <is>
          <t>0e50eebe91c981b6016f68eeac488905187a9767</t>
        </is>
      </c>
      <c r="K308">
        <f>HYPERLINK("http://gitlab.osmosys.co/incident-reporter/incident-reporter-app/-/merge_requests/1786#note_237806", "this is also - Cancel")</f>
        <v/>
      </c>
      <c r="L308" t="inlineStr">
        <is>
          <t>2025-07-16 17:54:39.229 IST</t>
        </is>
      </c>
      <c r="M308" t="inlineStr">
        <is>
          <t>Soundariya B</t>
        </is>
      </c>
      <c r="N308" t="inlineStr">
        <is>
          <t>Yes</t>
        </is>
      </c>
      <c r="O308" t="inlineStr">
        <is>
          <t>Yes</t>
        </is>
      </c>
      <c r="P308" t="inlineStr">
        <is>
          <t>Soundariya B</t>
        </is>
      </c>
      <c r="Q308" t="inlineStr">
        <is>
          <t>Neutral</t>
        </is>
      </c>
    </row>
    <row r="309">
      <c r="A309" t="inlineStr">
        <is>
          <t>shreya.v</t>
        </is>
      </c>
      <c r="B309" t="inlineStr">
        <is>
          <t>Shreya Ved</t>
        </is>
      </c>
      <c r="C309" t="inlineStr">
        <is>
          <t>shreya.v@osmosys.co</t>
        </is>
      </c>
      <c r="D309" t="inlineStr">
        <is>
          <t>incident-reporter</t>
        </is>
      </c>
      <c r="E309">
        <f>HYPERLINK("http://gitlab.osmosys.co/incident-reporter/incident-reporter-app", "OQSHA Mobile App")</f>
        <v/>
      </c>
      <c r="F309">
        <f>HYPERLINK("http://gitlab.osmosys.co/incident-reporter/incident-reporter-app/-/merge_requests/1786", "feat: add search functionality ptw company")</f>
        <v/>
      </c>
      <c r="G309" t="inlineStr">
        <is>
          <t>feat/search-ptw-company</t>
        </is>
      </c>
      <c r="H309" t="inlineStr">
        <is>
          <t>sprint-17</t>
        </is>
      </c>
      <c r="I309" t="inlineStr">
        <is>
          <t>merged</t>
        </is>
      </c>
      <c r="J309" t="inlineStr">
        <is>
          <t>0e50eebe91c981b6016f68eeac488905187a9767</t>
        </is>
      </c>
      <c r="K309">
        <f>HYPERLINK("http://gitlab.osmosys.co/incident-reporter/incident-reporter-app/-/merge_requests/1786#note_237912", "it cannot be Cancel, at other places it is in capital letter only and raj confirmed
![image](/uploads/148f88f013ed695a060090cca40083d7/image.png){width=249 height=463}")</f>
        <v/>
      </c>
      <c r="L309" t="inlineStr">
        <is>
          <t>2025-07-16 21:02:31.557 IST</t>
        </is>
      </c>
      <c r="M309" t="inlineStr">
        <is>
          <t>Shreya Ved</t>
        </is>
      </c>
      <c r="N309" t="inlineStr">
        <is>
          <t>No</t>
        </is>
      </c>
      <c r="O309" t="inlineStr">
        <is>
          <t>Yes</t>
        </is>
      </c>
      <c r="P309" t="inlineStr">
        <is>
          <t>Soundariya B</t>
        </is>
      </c>
      <c r="Q309" t="inlineStr">
        <is>
          <t>Neutral</t>
        </is>
      </c>
    </row>
    <row r="310">
      <c r="A310" t="inlineStr">
        <is>
          <t>shreya.v</t>
        </is>
      </c>
      <c r="B310" t="inlineStr">
        <is>
          <t>Shreya Ved</t>
        </is>
      </c>
      <c r="C310" t="inlineStr">
        <is>
          <t>shreya.v@osmosys.co</t>
        </is>
      </c>
      <c r="D310" t="inlineStr">
        <is>
          <t>incident-reporter</t>
        </is>
      </c>
      <c r="E310">
        <f>HYPERLINK("http://gitlab.osmosys.co/incident-reporter/incident-reporter-app", "OQSHA Mobile App")</f>
        <v/>
      </c>
      <c r="F310">
        <f>HYPERLINK("http://gitlab.osmosys.co/incident-reporter/incident-reporter-app/-/merge_requests/1786", "feat: add search functionality ptw company")</f>
        <v/>
      </c>
      <c r="G310" t="inlineStr">
        <is>
          <t>feat/search-ptw-company</t>
        </is>
      </c>
      <c r="H310" t="inlineStr">
        <is>
          <t>sprint-17</t>
        </is>
      </c>
      <c r="I310" t="inlineStr">
        <is>
          <t>merged</t>
        </is>
      </c>
      <c r="J310" t="inlineStr">
        <is>
          <t>a72438c5cacba68331eb357faac6916694349bfd</t>
        </is>
      </c>
      <c r="K310">
        <f>HYPERLINK("http://gitlab.osmosys.co/incident-reporter/incident-reporter-app/-/merge_requests/1786#note_237807", "Can you make Add new company + as in green color for both dropdowns so it will give better UX and shows highlighted
![image.png](/uploads/9e9da285bde3047fca9e20bc0b2346cc/image.png)")</f>
        <v/>
      </c>
      <c r="L310" t="inlineStr">
        <is>
          <t>2025-07-16 17:54:39.277 IST</t>
        </is>
      </c>
      <c r="M310" t="inlineStr">
        <is>
          <t>Soundariya B</t>
        </is>
      </c>
      <c r="N310" t="inlineStr">
        <is>
          <t>Yes</t>
        </is>
      </c>
      <c r="O310" t="inlineStr">
        <is>
          <t>Yes</t>
        </is>
      </c>
      <c r="P310" t="inlineStr">
        <is>
          <t>Soundariya B</t>
        </is>
      </c>
      <c r="Q310" t="inlineStr">
        <is>
          <t>Good</t>
        </is>
      </c>
    </row>
    <row r="311">
      <c r="A311" t="inlineStr">
        <is>
          <t>shreya.v</t>
        </is>
      </c>
      <c r="B311" t="inlineStr">
        <is>
          <t>Shreya Ved</t>
        </is>
      </c>
      <c r="C311" t="inlineStr">
        <is>
          <t>shreya.v@osmosys.co</t>
        </is>
      </c>
      <c r="D311" t="inlineStr">
        <is>
          <t>incident-reporter</t>
        </is>
      </c>
      <c r="E311">
        <f>HYPERLINK("http://gitlab.osmosys.co/incident-reporter/incident-reporter-app", "OQSHA Mobile App")</f>
        <v/>
      </c>
      <c r="F311">
        <f>HYPERLINK("http://gitlab.osmosys.co/incident-reporter/incident-reporter-app/-/merge_requests/1786", "feat: add search functionality ptw company")</f>
        <v/>
      </c>
      <c r="G311" t="inlineStr">
        <is>
          <t>feat/search-ptw-company</t>
        </is>
      </c>
      <c r="H311" t="inlineStr">
        <is>
          <t>sprint-17</t>
        </is>
      </c>
      <c r="I311" t="inlineStr">
        <is>
          <t>merged</t>
        </is>
      </c>
      <c r="J311" t="inlineStr">
        <is>
          <t>a72438c5cacba68331eb357faac6916694349bfd</t>
        </is>
      </c>
      <c r="K311">
        <f>HYPERLINK("http://gitlab.osmosys.co/incident-reporter/incident-reporter-app/-/merge_requests/1786#note_237885", "raj has asked to make it bold, so did that")</f>
        <v/>
      </c>
      <c r="L311" t="inlineStr">
        <is>
          <t>2025-07-16 19:04:29.241 IST</t>
        </is>
      </c>
      <c r="M311" t="inlineStr">
        <is>
          <t>Shreya Ved</t>
        </is>
      </c>
      <c r="N311" t="inlineStr">
        <is>
          <t>No</t>
        </is>
      </c>
      <c r="O311" t="inlineStr">
        <is>
          <t>Yes</t>
        </is>
      </c>
      <c r="P311" t="inlineStr">
        <is>
          <t>Soundariya B</t>
        </is>
      </c>
      <c r="Q311" t="inlineStr">
        <is>
          <t>Good</t>
        </is>
      </c>
    </row>
    <row r="312">
      <c r="A312" t="inlineStr">
        <is>
          <t>shreya.v</t>
        </is>
      </c>
      <c r="B312" t="inlineStr">
        <is>
          <t>Shreya Ved</t>
        </is>
      </c>
      <c r="C312" t="inlineStr">
        <is>
          <t>shreya.v@osmosys.co</t>
        </is>
      </c>
      <c r="D312" t="inlineStr">
        <is>
          <t>incident-reporter</t>
        </is>
      </c>
      <c r="E312">
        <f>HYPERLINK("http://gitlab.osmosys.co/incident-reporter/incident-reporter-app", "OQSHA Mobile App")</f>
        <v/>
      </c>
      <c r="F312">
        <f>HYPERLINK("http://gitlab.osmosys.co/incident-reporter/incident-reporter-app/-/merge_requests/1786", "feat: add search functionality ptw company")</f>
        <v/>
      </c>
      <c r="G312" t="inlineStr">
        <is>
          <t>feat/search-ptw-company</t>
        </is>
      </c>
      <c r="H312" t="inlineStr">
        <is>
          <t>sprint-17</t>
        </is>
      </c>
      <c r="I312" t="inlineStr">
        <is>
          <t>merged</t>
        </is>
      </c>
      <c r="J312" t="inlineStr">
        <is>
          <t>a72438c5cacba68331eb357faac6916694349bfd</t>
        </is>
      </c>
      <c r="K312">
        <f>HYPERLINK("http://gitlab.osmosys.co/incident-reporter/incident-reporter-app/-/merge_requests/1786#note_237951", "![image](/uploads/d7eeab75f921f87b9bc08d8e471e99f5/image.png){width=265 height=464}")</f>
        <v/>
      </c>
      <c r="L312" t="inlineStr">
        <is>
          <t>2025-07-16 22:01:01.094 IST</t>
        </is>
      </c>
      <c r="M312" t="inlineStr">
        <is>
          <t>Shreya Ved</t>
        </is>
      </c>
      <c r="N312" t="inlineStr">
        <is>
          <t>No</t>
        </is>
      </c>
      <c r="O312" t="inlineStr">
        <is>
          <t>Yes</t>
        </is>
      </c>
      <c r="P312" t="inlineStr">
        <is>
          <t>Soundariya B</t>
        </is>
      </c>
      <c r="Q312" t="inlineStr">
        <is>
          <t>Good</t>
        </is>
      </c>
    </row>
    <row r="313">
      <c r="A313" t="inlineStr">
        <is>
          <t>shreya.v</t>
        </is>
      </c>
      <c r="B313" t="inlineStr">
        <is>
          <t>Shreya Ved</t>
        </is>
      </c>
      <c r="C313" t="inlineStr">
        <is>
          <t>shreya.v@osmosys.co</t>
        </is>
      </c>
      <c r="D313" t="inlineStr">
        <is>
          <t>incident-reporter</t>
        </is>
      </c>
      <c r="E313">
        <f>HYPERLINK("http://gitlab.osmosys.co/incident-reporter/incident-reporter-app", "OQSHA Mobile App")</f>
        <v/>
      </c>
      <c r="F313">
        <f>HYPERLINK("http://gitlab.osmosys.co/incident-reporter/incident-reporter-app/-/merge_requests/1785", "fix: optimize dropdown filter on app")</f>
        <v/>
      </c>
      <c r="G313" t="inlineStr">
        <is>
          <t>fix/dropdown-filter-app</t>
        </is>
      </c>
      <c r="H313" t="inlineStr">
        <is>
          <t>sprint-17</t>
        </is>
      </c>
      <c r="I313" t="inlineStr">
        <is>
          <t>merged</t>
        </is>
      </c>
      <c r="J313" t="inlineStr">
        <is>
          <t>346907e08fb61708de86f2954899367d79556e78</t>
        </is>
      </c>
      <c r="K313">
        <f>HYPERLINK("http://gitlab.osmosys.co/incident-reporter/incident-reporter-app/-/merge_requests/1785#note_237665", "Remove this -- Fix it everywhere")</f>
        <v/>
      </c>
      <c r="L313" t="inlineStr">
        <is>
          <t>2025-07-16 16:35:42.223 IST</t>
        </is>
      </c>
      <c r="M313" t="inlineStr">
        <is>
          <t>Soundariya B</t>
        </is>
      </c>
      <c r="N313" t="inlineStr">
        <is>
          <t>Yes</t>
        </is>
      </c>
      <c r="O313" t="inlineStr">
        <is>
          <t>Yes</t>
        </is>
      </c>
      <c r="P313" t="inlineStr">
        <is>
          <t>Soundariya B</t>
        </is>
      </c>
      <c r="Q313" t="inlineStr">
        <is>
          <t>Neutral</t>
        </is>
      </c>
    </row>
    <row r="314">
      <c r="A314" t="inlineStr">
        <is>
          <t>shreya.v</t>
        </is>
      </c>
      <c r="B314" t="inlineStr">
        <is>
          <t>Shreya Ved</t>
        </is>
      </c>
      <c r="C314" t="inlineStr">
        <is>
          <t>shreya.v@osmosys.co</t>
        </is>
      </c>
      <c r="D314" t="inlineStr">
        <is>
          <t>incident-reporter</t>
        </is>
      </c>
      <c r="E314">
        <f>HYPERLINK("http://gitlab.osmosys.co/incident-reporter/incident-reporter-app", "OQSHA Mobile App")</f>
        <v/>
      </c>
      <c r="F314">
        <f>HYPERLINK("http://gitlab.osmosys.co/incident-reporter/incident-reporter-app/-/merge_requests/1785", "fix: optimize dropdown filter on app")</f>
        <v/>
      </c>
      <c r="G314" t="inlineStr">
        <is>
          <t>fix/dropdown-filter-app</t>
        </is>
      </c>
      <c r="H314" t="inlineStr">
        <is>
          <t>sprint-17</t>
        </is>
      </c>
      <c r="I314" t="inlineStr">
        <is>
          <t>merged</t>
        </is>
      </c>
      <c r="J314" t="inlineStr">
        <is>
          <t>346907e08fb61708de86f2954899367d79556e78</t>
        </is>
      </c>
      <c r="K314">
        <f>HYPERLINK("http://gitlab.osmosys.co/incident-reporter/incident-reporter-app/-/merge_requests/1785#note_237830", "I cant remove it, Linting will fail if i remove it. Raj has asked to ignore them")</f>
        <v/>
      </c>
      <c r="L314" t="inlineStr">
        <is>
          <t>2025-07-16 18:12:13.602 IST</t>
        </is>
      </c>
      <c r="M314" t="inlineStr">
        <is>
          <t>Shreya Ved</t>
        </is>
      </c>
      <c r="N314" t="inlineStr">
        <is>
          <t>No</t>
        </is>
      </c>
      <c r="O314" t="inlineStr">
        <is>
          <t>Yes</t>
        </is>
      </c>
      <c r="P314" t="inlineStr">
        <is>
          <t>Soundariya B</t>
        </is>
      </c>
      <c r="Q314" t="inlineStr">
        <is>
          <t>Neutral</t>
        </is>
      </c>
    </row>
    <row r="315">
      <c r="A315" t="inlineStr">
        <is>
          <t>shreya.v</t>
        </is>
      </c>
      <c r="B315" t="inlineStr">
        <is>
          <t>Shreya Ved</t>
        </is>
      </c>
      <c r="C315" t="inlineStr">
        <is>
          <t>shreya.v@osmosys.co</t>
        </is>
      </c>
      <c r="D315" t="inlineStr">
        <is>
          <t>incident-reporter</t>
        </is>
      </c>
      <c r="E315">
        <f>HYPERLINK("http://gitlab.osmosys.co/incident-reporter/incident-reporter-app", "OQSHA Mobile App")</f>
        <v/>
      </c>
      <c r="F315">
        <f>HYPERLINK("http://gitlab.osmosys.co/incident-reporter/incident-reporter-app/-/merge_requests/1785", "fix: optimize dropdown filter on app")</f>
        <v/>
      </c>
      <c r="G315" t="inlineStr">
        <is>
          <t>fix/dropdown-filter-app</t>
        </is>
      </c>
      <c r="H315" t="inlineStr">
        <is>
          <t>sprint-17</t>
        </is>
      </c>
      <c r="I315" t="inlineStr">
        <is>
          <t>merged</t>
        </is>
      </c>
      <c r="J315" t="inlineStr">
        <is>
          <t>dd51acfd1de0beb25e7ccefda5e60bed4d50c7b3</t>
        </is>
      </c>
      <c r="K315">
        <f>HYPERLINK("http://gitlab.osmosys.co/incident-reporter/incident-reporter-app/-/merge_requests/1785#note_237666", "Code repetition please fix it")</f>
        <v/>
      </c>
      <c r="L315" t="inlineStr">
        <is>
          <t>2025-07-16 16:35:42.291 IST</t>
        </is>
      </c>
      <c r="M315" t="inlineStr">
        <is>
          <t>Soundariya B</t>
        </is>
      </c>
      <c r="N315" t="inlineStr">
        <is>
          <t>Yes</t>
        </is>
      </c>
      <c r="O315" t="inlineStr">
        <is>
          <t>Yes</t>
        </is>
      </c>
      <c r="P315" t="inlineStr">
        <is>
          <t>Soundariya B</t>
        </is>
      </c>
      <c r="Q315" t="inlineStr">
        <is>
          <t>Bad</t>
        </is>
      </c>
    </row>
    <row r="316">
      <c r="A316" t="inlineStr">
        <is>
          <t>shreya.v</t>
        </is>
      </c>
      <c r="B316" t="inlineStr">
        <is>
          <t>Shreya Ved</t>
        </is>
      </c>
      <c r="C316" t="inlineStr">
        <is>
          <t>shreya.v@osmosys.co</t>
        </is>
      </c>
      <c r="D316" t="inlineStr">
        <is>
          <t>incident-reporter</t>
        </is>
      </c>
      <c r="E316">
        <f>HYPERLINK("http://gitlab.osmosys.co/incident-reporter/incident-reporter-app", "OQSHA Mobile App")</f>
        <v/>
      </c>
      <c r="F316">
        <f>HYPERLINK("http://gitlab.osmosys.co/incident-reporter/incident-reporter-app/-/merge_requests/1785", "fix: optimize dropdown filter on app")</f>
        <v/>
      </c>
      <c r="G316" t="inlineStr">
        <is>
          <t>fix/dropdown-filter-app</t>
        </is>
      </c>
      <c r="H316" t="inlineStr">
        <is>
          <t>sprint-17</t>
        </is>
      </c>
      <c r="I316" t="inlineStr">
        <is>
          <t>merged</t>
        </is>
      </c>
      <c r="J316" t="inlineStr">
        <is>
          <t>dd51acfd1de0beb25e7ccefda5e60bed4d50c7b3</t>
        </is>
      </c>
      <c r="K316">
        <f>HYPERLINK("http://gitlab.osmosys.co/incident-reporter/incident-reporter-app/-/merge_requests/1785#note_237811", "This is not code repetition, I need 2 properties because if I tamper with original properties local storage will also always remain empty as they are being used at both the places.")</f>
        <v/>
      </c>
      <c r="L316" t="inlineStr">
        <is>
          <t>2025-07-16 17:56:57.107 IST</t>
        </is>
      </c>
      <c r="M316" t="inlineStr">
        <is>
          <t>Shreya Ved</t>
        </is>
      </c>
      <c r="N316" t="inlineStr">
        <is>
          <t>No</t>
        </is>
      </c>
      <c r="O316" t="inlineStr">
        <is>
          <t>Yes</t>
        </is>
      </c>
      <c r="P316" t="inlineStr">
        <is>
          <t>Soundariya B</t>
        </is>
      </c>
      <c r="Q316" t="inlineStr">
        <is>
          <t>Bad</t>
        </is>
      </c>
    </row>
    <row r="317">
      <c r="A317" t="inlineStr">
        <is>
          <t>shreya.v</t>
        </is>
      </c>
      <c r="B317" t="inlineStr">
        <is>
          <t>Shreya Ved</t>
        </is>
      </c>
      <c r="C317" t="inlineStr">
        <is>
          <t>shreya.v@osmosys.co</t>
        </is>
      </c>
      <c r="D317" t="inlineStr">
        <is>
          <t>incident-reporter</t>
        </is>
      </c>
      <c r="E317">
        <f>HYPERLINK("http://gitlab.osmosys.co/incident-reporter/incident-reporter-app", "OQSHA Mobile App")</f>
        <v/>
      </c>
      <c r="F317">
        <f>HYPERLINK("http://gitlab.osmosys.co/incident-reporter/incident-reporter-app/-/merge_requests/1785", "fix: optimize dropdown filter on app")</f>
        <v/>
      </c>
      <c r="G317" t="inlineStr">
        <is>
          <t>fix/dropdown-filter-app</t>
        </is>
      </c>
      <c r="H317" t="inlineStr">
        <is>
          <t>sprint-17</t>
        </is>
      </c>
      <c r="I317" t="inlineStr">
        <is>
          <t>merged</t>
        </is>
      </c>
      <c r="J317" t="inlineStr">
        <is>
          <t>dd51acfd1de0beb25e7ccefda5e60bed4d50c7b3</t>
        </is>
      </c>
      <c r="K317">
        <f>HYPERLINK("http://gitlab.osmosys.co/incident-reporter/incident-reporter-app/-/merge_requests/1785#note_237908", "How the code is not repeating?
![image.png](/uploads/9f125d9d30afaf436a1f207e0c458808/image.png)")</f>
        <v/>
      </c>
      <c r="L317" t="inlineStr">
        <is>
          <t>2025-07-16 20:21:03.042 IST</t>
        </is>
      </c>
      <c r="M317" t="inlineStr">
        <is>
          <t>Soundariya B</t>
        </is>
      </c>
      <c r="N317" t="inlineStr">
        <is>
          <t>Yes</t>
        </is>
      </c>
      <c r="O317" t="inlineStr">
        <is>
          <t>Yes</t>
        </is>
      </c>
      <c r="P317" t="inlineStr">
        <is>
          <t>Soundariya B</t>
        </is>
      </c>
      <c r="Q317" t="inlineStr">
        <is>
          <t>Bad</t>
        </is>
      </c>
    </row>
    <row r="318">
      <c r="A318" t="inlineStr">
        <is>
          <t>shreya.v</t>
        </is>
      </c>
      <c r="B318" t="inlineStr">
        <is>
          <t>Shreya Ved</t>
        </is>
      </c>
      <c r="C318" t="inlineStr">
        <is>
          <t>shreya.v@osmosys.co</t>
        </is>
      </c>
      <c r="D318" t="inlineStr">
        <is>
          <t>incident-reporter</t>
        </is>
      </c>
      <c r="E318">
        <f>HYPERLINK("http://gitlab.osmosys.co/incident-reporter/incident-reporter-app", "OQSHA Mobile App")</f>
        <v/>
      </c>
      <c r="F318">
        <f>HYPERLINK("http://gitlab.osmosys.co/incident-reporter/incident-reporter-app/-/merge_requests/1785", "fix: optimize dropdown filter on app")</f>
        <v/>
      </c>
      <c r="G318" t="inlineStr">
        <is>
          <t>fix/dropdown-filter-app</t>
        </is>
      </c>
      <c r="H318" t="inlineStr">
        <is>
          <t>sprint-17</t>
        </is>
      </c>
      <c r="I318" t="inlineStr">
        <is>
          <t>merged</t>
        </is>
      </c>
      <c r="J318" t="inlineStr">
        <is>
          <t>dd51acfd1de0beb25e7ccefda5e60bed4d50c7b3</t>
        </is>
      </c>
      <c r="K318">
        <f>HYPERLINK("http://gitlab.osmosys.co/incident-reporter/incident-reporter-app/-/merge_requests/1785#note_237936", "They are two different functions apply filter and reset filter")</f>
        <v/>
      </c>
      <c r="L318" t="inlineStr">
        <is>
          <t>2025-07-16 21:54:55.573 IST</t>
        </is>
      </c>
      <c r="M318" t="inlineStr">
        <is>
          <t>Shreya Ved</t>
        </is>
      </c>
      <c r="N318" t="inlineStr">
        <is>
          <t>No</t>
        </is>
      </c>
      <c r="O318" t="inlineStr">
        <is>
          <t>Yes</t>
        </is>
      </c>
      <c r="P318" t="inlineStr">
        <is>
          <t>Soundariya B</t>
        </is>
      </c>
      <c r="Q318" t="inlineStr">
        <is>
          <t>Bad</t>
        </is>
      </c>
    </row>
    <row r="319">
      <c r="A319" t="inlineStr">
        <is>
          <t>shreya.v</t>
        </is>
      </c>
      <c r="B319" t="inlineStr">
        <is>
          <t>Shreya Ved</t>
        </is>
      </c>
      <c r="C319" t="inlineStr">
        <is>
          <t>shreya.v@osmosys.co</t>
        </is>
      </c>
      <c r="D319" t="inlineStr">
        <is>
          <t>incident-reporter</t>
        </is>
      </c>
      <c r="E319">
        <f>HYPERLINK("http://gitlab.osmosys.co/incident-reporter/incident-reporter-app", "OQSHA Mobile App")</f>
        <v/>
      </c>
      <c r="F319">
        <f>HYPERLINK("http://gitlab.osmosys.co/incident-reporter/incident-reporter-app/-/merge_requests/1785", "fix: optimize dropdown filter on app")</f>
        <v/>
      </c>
      <c r="G319" t="inlineStr">
        <is>
          <t>fix/dropdown-filter-app</t>
        </is>
      </c>
      <c r="H319" t="inlineStr">
        <is>
          <t>sprint-17</t>
        </is>
      </c>
      <c r="I319" t="inlineStr">
        <is>
          <t>merged</t>
        </is>
      </c>
      <c r="J319" t="inlineStr">
        <is>
          <t>f86f56204b8ad2c3c49272e2c1a05686127deae6</t>
        </is>
      </c>
      <c r="K319">
        <f>HYPERLINK("http://gitlab.osmosys.co/incident-reporter/incident-reporter-app/-/merge_requests/1785#note_237667", "Can you store in one variable and then use it where it is required? - sessionStorage.**getItem**(constants.localStorageKeys.TASK_FILTER)")</f>
        <v/>
      </c>
      <c r="L319" t="inlineStr">
        <is>
          <t>2025-07-16 16:35:42.382 IST</t>
        </is>
      </c>
      <c r="M319" t="inlineStr">
        <is>
          <t>Soundariya B</t>
        </is>
      </c>
      <c r="N319" t="inlineStr">
        <is>
          <t>Yes</t>
        </is>
      </c>
      <c r="O319" t="inlineStr">
        <is>
          <t>Yes</t>
        </is>
      </c>
      <c r="P319" t="inlineStr">
        <is>
          <t>Soundariya B</t>
        </is>
      </c>
      <c r="Q319" t="inlineStr">
        <is>
          <t>Bad</t>
        </is>
      </c>
    </row>
    <row r="320">
      <c r="A320" t="inlineStr">
        <is>
          <t>shreya.v</t>
        </is>
      </c>
      <c r="B320" t="inlineStr">
        <is>
          <t>Shreya Ved</t>
        </is>
      </c>
      <c r="C320" t="inlineStr">
        <is>
          <t>shreya.v@osmosys.co</t>
        </is>
      </c>
      <c r="D320" t="inlineStr">
        <is>
          <t>incident-reporter</t>
        </is>
      </c>
      <c r="E320">
        <f>HYPERLINK("http://gitlab.osmosys.co/incident-reporter/incident-reporter-app", "OQSHA Mobile App")</f>
        <v/>
      </c>
      <c r="F320">
        <f>HYPERLINK("http://gitlab.osmosys.co/incident-reporter/incident-reporter-app/-/merge_requests/1785", "fix: optimize dropdown filter on app")</f>
        <v/>
      </c>
      <c r="G320" t="inlineStr">
        <is>
          <t>fix/dropdown-filter-app</t>
        </is>
      </c>
      <c r="H320" t="inlineStr">
        <is>
          <t>sprint-17</t>
        </is>
      </c>
      <c r="I320" t="inlineStr">
        <is>
          <t>merged</t>
        </is>
      </c>
      <c r="J320" t="inlineStr">
        <is>
          <t>f86f56204b8ad2c3c49272e2c1a05686127deae6</t>
        </is>
      </c>
      <c r="K320">
        <f>HYPERLINK("http://gitlab.osmosys.co/incident-reporter/incident-reporter-app/-/merge_requests/1785#note_237819", "ok")</f>
        <v/>
      </c>
      <c r="L320" t="inlineStr">
        <is>
          <t>2025-07-16 18:01:45.641 IST</t>
        </is>
      </c>
      <c r="M320" t="inlineStr">
        <is>
          <t>Shreya Ved</t>
        </is>
      </c>
      <c r="N320" t="inlineStr">
        <is>
          <t>No</t>
        </is>
      </c>
      <c r="O320" t="inlineStr">
        <is>
          <t>Yes</t>
        </is>
      </c>
      <c r="P320" t="inlineStr">
        <is>
          <t>Soundariya B</t>
        </is>
      </c>
      <c r="Q320" t="inlineStr">
        <is>
          <t>Bad</t>
        </is>
      </c>
    </row>
    <row r="321">
      <c r="A321" t="inlineStr">
        <is>
          <t>shreya.v</t>
        </is>
      </c>
      <c r="B321" t="inlineStr">
        <is>
          <t>Shreya Ved</t>
        </is>
      </c>
      <c r="C321" t="inlineStr">
        <is>
          <t>shreya.v@osmosys.co</t>
        </is>
      </c>
      <c r="D321" t="inlineStr">
        <is>
          <t>incident-reporter</t>
        </is>
      </c>
      <c r="E321">
        <f>HYPERLINK("http://gitlab.osmosys.co/incident-reporter/incident-reporter-app", "OQSHA Mobile App")</f>
        <v/>
      </c>
      <c r="F321">
        <f>HYPERLINK("http://gitlab.osmosys.co/incident-reporter/incident-reporter-app/-/merge_requests/1785", "fix: optimize dropdown filter on app")</f>
        <v/>
      </c>
      <c r="G321" t="inlineStr">
        <is>
          <t>fix/dropdown-filter-app</t>
        </is>
      </c>
      <c r="H321" t="inlineStr">
        <is>
          <t>sprint-17</t>
        </is>
      </c>
      <c r="I321" t="inlineStr">
        <is>
          <t>merged</t>
        </is>
      </c>
      <c r="J321" t="inlineStr">
        <is>
          <t>fcfb94a61a24c33e5892d0f02db5a67d0134fe3e</t>
        </is>
      </c>
      <c r="K321">
        <f>HYPERLINK("http://gitlab.osmosys.co/incident-reporter/incident-reporter-app/-/merge_requests/1785#note_237668", "Get the key from constant file")</f>
        <v/>
      </c>
      <c r="L321" t="inlineStr">
        <is>
          <t>2025-07-16 16:35:42.482 IST</t>
        </is>
      </c>
      <c r="M321" t="inlineStr">
        <is>
          <t>Soundariya B</t>
        </is>
      </c>
      <c r="N321" t="inlineStr">
        <is>
          <t>Yes</t>
        </is>
      </c>
      <c r="O321" t="inlineStr">
        <is>
          <t>Yes</t>
        </is>
      </c>
      <c r="P321" t="inlineStr">
        <is>
          <t>Soundariya B</t>
        </is>
      </c>
      <c r="Q321" t="inlineStr">
        <is>
          <t>Bad</t>
        </is>
      </c>
    </row>
    <row r="322">
      <c r="A322" t="inlineStr">
        <is>
          <t>shreya.v</t>
        </is>
      </c>
      <c r="B322" t="inlineStr">
        <is>
          <t>Shreya Ved</t>
        </is>
      </c>
      <c r="C322" t="inlineStr">
        <is>
          <t>shreya.v@osmosys.co</t>
        </is>
      </c>
      <c r="D322" t="inlineStr">
        <is>
          <t>incident-reporter</t>
        </is>
      </c>
      <c r="E322">
        <f>HYPERLINK("http://gitlab.osmosys.co/incident-reporter/incident-reporter-app", "OQSHA Mobile App")</f>
        <v/>
      </c>
      <c r="F322">
        <f>HYPERLINK("http://gitlab.osmosys.co/incident-reporter/incident-reporter-app/-/merge_requests/1785", "fix: optimize dropdown filter on app")</f>
        <v/>
      </c>
      <c r="G322" t="inlineStr">
        <is>
          <t>fix/dropdown-filter-app</t>
        </is>
      </c>
      <c r="H322" t="inlineStr">
        <is>
          <t>sprint-17</t>
        </is>
      </c>
      <c r="I322" t="inlineStr">
        <is>
          <t>merged</t>
        </is>
      </c>
      <c r="J322" t="inlineStr">
        <is>
          <t>fcfb94a61a24c33e5892d0f02db5a67d0134fe3e</t>
        </is>
      </c>
      <c r="K322">
        <f>HYPERLINK("http://gitlab.osmosys.co/incident-reporter/incident-reporter-app/-/merge_requests/1785#note_237868", "ok")</f>
        <v/>
      </c>
      <c r="L322" t="inlineStr">
        <is>
          <t>2025-07-16 18:36:20.498 IST</t>
        </is>
      </c>
      <c r="M322" t="inlineStr">
        <is>
          <t>Shreya Ved</t>
        </is>
      </c>
      <c r="N322" t="inlineStr">
        <is>
          <t>No</t>
        </is>
      </c>
      <c r="O322" t="inlineStr">
        <is>
          <t>Yes</t>
        </is>
      </c>
      <c r="P322" t="inlineStr">
        <is>
          <t>Soundariya B</t>
        </is>
      </c>
      <c r="Q322" t="inlineStr">
        <is>
          <t>Bad</t>
        </is>
      </c>
    </row>
    <row r="323">
      <c r="A323" t="inlineStr">
        <is>
          <t>shreya.v</t>
        </is>
      </c>
      <c r="B323" t="inlineStr">
        <is>
          <t>Shreya Ved</t>
        </is>
      </c>
      <c r="C323" t="inlineStr">
        <is>
          <t>shreya.v@osmosys.co</t>
        </is>
      </c>
      <c r="D323" t="inlineStr">
        <is>
          <t>incident-reporter</t>
        </is>
      </c>
      <c r="E323">
        <f>HYPERLINK("http://gitlab.osmosys.co/incident-reporter/incident-reporter-app", "OQSHA Mobile App")</f>
        <v/>
      </c>
      <c r="F323">
        <f>HYPERLINK("http://gitlab.osmosys.co/incident-reporter/incident-reporter-app/-/merge_requests/1785", "fix: optimize dropdown filter on app")</f>
        <v/>
      </c>
      <c r="G323" t="inlineStr">
        <is>
          <t>fix/dropdown-filter-app</t>
        </is>
      </c>
      <c r="H323" t="inlineStr">
        <is>
          <t>sprint-17</t>
        </is>
      </c>
      <c r="I323" t="inlineStr">
        <is>
          <t>merged</t>
        </is>
      </c>
      <c r="J323" t="inlineStr">
        <is>
          <t>b91512901250a4f03972acae0912bff9e38ada88</t>
        </is>
      </c>
      <c r="K323">
        <f>HYPERLINK("http://gitlab.osmosys.co/incident-reporter/incident-reporter-app/-/merge_requests/1785#note_237669", "Please do Single-line declaration")</f>
        <v/>
      </c>
      <c r="L323" t="inlineStr">
        <is>
          <t>2025-07-16 16:35:42.533 IST</t>
        </is>
      </c>
      <c r="M323" t="inlineStr">
        <is>
          <t>Soundariya B</t>
        </is>
      </c>
      <c r="N323" t="inlineStr">
        <is>
          <t>Yes</t>
        </is>
      </c>
      <c r="O323" t="inlineStr">
        <is>
          <t>Yes</t>
        </is>
      </c>
      <c r="P323" t="inlineStr">
        <is>
          <t>Soundariya B</t>
        </is>
      </c>
      <c r="Q323" t="inlineStr">
        <is>
          <t>Neutral</t>
        </is>
      </c>
    </row>
    <row r="324">
      <c r="A324" t="inlineStr">
        <is>
          <t>shreya.v</t>
        </is>
      </c>
      <c r="B324" t="inlineStr">
        <is>
          <t>Shreya Ved</t>
        </is>
      </c>
      <c r="C324" t="inlineStr">
        <is>
          <t>shreya.v@osmosys.co</t>
        </is>
      </c>
      <c r="D324" t="inlineStr">
        <is>
          <t>incident-reporter</t>
        </is>
      </c>
      <c r="E324">
        <f>HYPERLINK("http://gitlab.osmosys.co/incident-reporter/incident-reporter-app", "OQSHA Mobile App")</f>
        <v/>
      </c>
      <c r="F324">
        <f>HYPERLINK("http://gitlab.osmosys.co/incident-reporter/incident-reporter-app/-/merge_requests/1785", "fix: optimize dropdown filter on app")</f>
        <v/>
      </c>
      <c r="G324" t="inlineStr">
        <is>
          <t>fix/dropdown-filter-app</t>
        </is>
      </c>
      <c r="H324" t="inlineStr">
        <is>
          <t>sprint-17</t>
        </is>
      </c>
      <c r="I324" t="inlineStr">
        <is>
          <t>merged</t>
        </is>
      </c>
      <c r="J324" t="inlineStr">
        <is>
          <t>b91512901250a4f03972acae0912bff9e38ada88</t>
        </is>
      </c>
      <c r="K324">
        <f>HYPERLINK("http://gitlab.osmosys.co/incident-reporter/incident-reporter-app/-/merge_requests/1785#note_237823", "![image](/uploads/8bad8e08a21d82dfd1016cbe6416b5a5/image.png){width=531 height=199}")</f>
        <v/>
      </c>
      <c r="L324" t="inlineStr">
        <is>
          <t>2025-07-16 18:04:55.886 IST</t>
        </is>
      </c>
      <c r="M324" t="inlineStr">
        <is>
          <t>Shreya Ved</t>
        </is>
      </c>
      <c r="N324" t="inlineStr">
        <is>
          <t>No</t>
        </is>
      </c>
      <c r="O324" t="inlineStr">
        <is>
          <t>Yes</t>
        </is>
      </c>
      <c r="P324" t="inlineStr">
        <is>
          <t>Soundariya B</t>
        </is>
      </c>
      <c r="Q324" t="inlineStr">
        <is>
          <t>Neutral</t>
        </is>
      </c>
    </row>
    <row r="325">
      <c r="A325" t="inlineStr">
        <is>
          <t>shreya.v</t>
        </is>
      </c>
      <c r="B325" t="inlineStr">
        <is>
          <t>Shreya Ved</t>
        </is>
      </c>
      <c r="C325" t="inlineStr">
        <is>
          <t>shreya.v@osmosys.co</t>
        </is>
      </c>
      <c r="D325" t="inlineStr">
        <is>
          <t>incident-reporter</t>
        </is>
      </c>
      <c r="E325">
        <f>HYPERLINK("http://gitlab.osmosys.co/incident-reporter/incident-reporter-app", "OQSHA Mobile App")</f>
        <v/>
      </c>
      <c r="F325">
        <f>HYPERLINK("http://gitlab.osmosys.co/incident-reporter/incident-reporter-app/-/merge_requests/1785", "fix: optimize dropdown filter on app")</f>
        <v/>
      </c>
      <c r="G325" t="inlineStr">
        <is>
          <t>fix/dropdown-filter-app</t>
        </is>
      </c>
      <c r="H325" t="inlineStr">
        <is>
          <t>sprint-17</t>
        </is>
      </c>
      <c r="I325" t="inlineStr">
        <is>
          <t>merged</t>
        </is>
      </c>
      <c r="J325" t="inlineStr">
        <is>
          <t>b91512901250a4f03972acae0912bff9e38ada88</t>
        </is>
      </c>
      <c r="K325">
        <f>HYPERLINK("http://gitlab.osmosys.co/incident-reporter/incident-reporter-app/-/merge_requests/1785#note_237825", "Lint does not allow")</f>
        <v/>
      </c>
      <c r="L325" t="inlineStr">
        <is>
          <t>2025-07-16 18:06:00.427 IST</t>
        </is>
      </c>
      <c r="M325" t="inlineStr">
        <is>
          <t>Shreya Ved</t>
        </is>
      </c>
      <c r="N325" t="inlineStr">
        <is>
          <t>No</t>
        </is>
      </c>
      <c r="O325" t="inlineStr">
        <is>
          <t>Yes</t>
        </is>
      </c>
      <c r="P325" t="inlineStr">
        <is>
          <t>Soundariya B</t>
        </is>
      </c>
      <c r="Q325" t="inlineStr">
        <is>
          <t>Neutral</t>
        </is>
      </c>
    </row>
    <row r="326">
      <c r="A326" t="inlineStr">
        <is>
          <t>shreya.v</t>
        </is>
      </c>
      <c r="B326" t="inlineStr">
        <is>
          <t>Shreya Ved</t>
        </is>
      </c>
      <c r="C326" t="inlineStr">
        <is>
          <t>shreya.v@osmosys.co</t>
        </is>
      </c>
      <c r="D326" t="inlineStr">
        <is>
          <t>incident-reporter</t>
        </is>
      </c>
      <c r="E326">
        <f>HYPERLINK("http://gitlab.osmosys.co/incident-reporter/incident-reporter-app", "OQSHA Mobile App")</f>
        <v/>
      </c>
      <c r="F326">
        <f>HYPERLINK("http://gitlab.osmosys.co/incident-reporter/incident-reporter-app/-/merge_requests/1785", "fix: optimize dropdown filter on app")</f>
        <v/>
      </c>
      <c r="G326" t="inlineStr">
        <is>
          <t>fix/dropdown-filter-app</t>
        </is>
      </c>
      <c r="H326" t="inlineStr">
        <is>
          <t>sprint-17</t>
        </is>
      </c>
      <c r="I326" t="inlineStr">
        <is>
          <t>merged</t>
        </is>
      </c>
      <c r="J326" t="inlineStr">
        <is>
          <t>d8602d05a01d0b0201d2fd01920dc555318f6d41</t>
        </is>
      </c>
      <c r="K326">
        <f>HYPERLINK("http://gitlab.osmosys.co/incident-reporter/incident-reporter-app/-/merge_requests/1785#note_237670", "Please Destructure this")</f>
        <v/>
      </c>
      <c r="L326" t="inlineStr">
        <is>
          <t>2025-07-16 16:35:42.585 IST</t>
        </is>
      </c>
      <c r="M326" t="inlineStr">
        <is>
          <t>Soundariya B</t>
        </is>
      </c>
      <c r="N326" t="inlineStr">
        <is>
          <t>Yes</t>
        </is>
      </c>
      <c r="O326" t="inlineStr">
        <is>
          <t>Yes</t>
        </is>
      </c>
      <c r="P326" t="inlineStr">
        <is>
          <t>Soundariya B</t>
        </is>
      </c>
      <c r="Q326" t="inlineStr">
        <is>
          <t>Bad</t>
        </is>
      </c>
    </row>
    <row r="327">
      <c r="A327" t="inlineStr">
        <is>
          <t>shreya.v</t>
        </is>
      </c>
      <c r="B327" t="inlineStr">
        <is>
          <t>Shreya Ved</t>
        </is>
      </c>
      <c r="C327" t="inlineStr">
        <is>
          <t>shreya.v@osmosys.co</t>
        </is>
      </c>
      <c r="D327" t="inlineStr">
        <is>
          <t>incident-reporter</t>
        </is>
      </c>
      <c r="E327">
        <f>HYPERLINK("http://gitlab.osmosys.co/incident-reporter/incident-reporter-app", "OQSHA Mobile App")</f>
        <v/>
      </c>
      <c r="F327">
        <f>HYPERLINK("http://gitlab.osmosys.co/incident-reporter/incident-reporter-app/-/merge_requests/1785", "fix: optimize dropdown filter on app")</f>
        <v/>
      </c>
      <c r="G327" t="inlineStr">
        <is>
          <t>fix/dropdown-filter-app</t>
        </is>
      </c>
      <c r="H327" t="inlineStr">
        <is>
          <t>sprint-17</t>
        </is>
      </c>
      <c r="I327" t="inlineStr">
        <is>
          <t>merged</t>
        </is>
      </c>
      <c r="J327" t="inlineStr">
        <is>
          <t>d8602d05a01d0b0201d2fd01920dc555318f6d41</t>
        </is>
      </c>
      <c r="K327">
        <f>HYPERLINK("http://gitlab.osmosys.co/incident-reporter/incident-reporter-app/-/merge_requests/1785#note_237834", "Destructuring is clearer but the optional chaining (?.) prevents runtime errors if storedFeedFilter is null or undefined.")</f>
        <v/>
      </c>
      <c r="L327" t="inlineStr">
        <is>
          <t>2025-07-16 18:19:23.792 IST</t>
        </is>
      </c>
      <c r="M327" t="inlineStr">
        <is>
          <t>Shreya Ved</t>
        </is>
      </c>
      <c r="N327" t="inlineStr">
        <is>
          <t>No</t>
        </is>
      </c>
      <c r="O327" t="inlineStr">
        <is>
          <t>Yes</t>
        </is>
      </c>
      <c r="P327" t="inlineStr">
        <is>
          <t>Soundariya B</t>
        </is>
      </c>
      <c r="Q327" t="inlineStr">
        <is>
          <t>Bad</t>
        </is>
      </c>
    </row>
    <row r="328">
      <c r="A328" t="inlineStr">
        <is>
          <t>shreya.v</t>
        </is>
      </c>
      <c r="B328" t="inlineStr">
        <is>
          <t>Shreya Ved</t>
        </is>
      </c>
      <c r="C328" t="inlineStr">
        <is>
          <t>shreya.v@osmosys.co</t>
        </is>
      </c>
      <c r="D328" t="inlineStr">
        <is>
          <t>incident-reporter</t>
        </is>
      </c>
      <c r="E328">
        <f>HYPERLINK("http://gitlab.osmosys.co/incident-reporter/incident-reporter-app", "OQSHA Mobile App")</f>
        <v/>
      </c>
      <c r="F328">
        <f>HYPERLINK("http://gitlab.osmosys.co/incident-reporter/incident-reporter-app/-/merge_requests/1785", "fix: optimize dropdown filter on app")</f>
        <v/>
      </c>
      <c r="G328" t="inlineStr">
        <is>
          <t>fix/dropdown-filter-app</t>
        </is>
      </c>
      <c r="H328" t="inlineStr">
        <is>
          <t>sprint-17</t>
        </is>
      </c>
      <c r="I328" t="inlineStr">
        <is>
          <t>merged</t>
        </is>
      </c>
      <c r="J328" t="inlineStr">
        <is>
          <t>d8602d05a01d0b0201d2fd01920dc555318f6d41</t>
        </is>
      </c>
      <c r="K328">
        <f>HYPERLINK("http://gitlab.osmosys.co/incident-reporter/incident-reporter-app/-/merge_requests/1785#note_237901", "Chaining + Destructuring + Defaults
it improves readability and reduces repetition
```
let allSites: string[] = [];
let allCompanies: string[] = [];
let allAssignedTo: string[] = [];
let allDivisions: string[] = [];
if (storedFeedFilter &amp;&amp; Object.keys(storedFeedFilter).length) {
  ({
    allSites = [],
    allCompanies = [],
    allAssignedTo = [],
    allDivisions = []
  } = storedFeedFilter ?? {});
}
```")</f>
        <v/>
      </c>
      <c r="L328" t="inlineStr">
        <is>
          <t>2025-07-16 20:11:14.899 IST</t>
        </is>
      </c>
      <c r="M328" t="inlineStr">
        <is>
          <t>Soundariya B</t>
        </is>
      </c>
      <c r="N328" t="inlineStr">
        <is>
          <t>Yes</t>
        </is>
      </c>
      <c r="O328" t="inlineStr">
        <is>
          <t>Yes</t>
        </is>
      </c>
      <c r="P328" t="inlineStr">
        <is>
          <t>Soundariya B</t>
        </is>
      </c>
      <c r="Q328" t="inlineStr">
        <is>
          <t>Bad</t>
        </is>
      </c>
    </row>
    <row r="329">
      <c r="A329" t="inlineStr">
        <is>
          <t>shreya.v</t>
        </is>
      </c>
      <c r="B329" t="inlineStr">
        <is>
          <t>Shreya Ved</t>
        </is>
      </c>
      <c r="C329" t="inlineStr">
        <is>
          <t>shreya.v@osmosys.co</t>
        </is>
      </c>
      <c r="D329" t="inlineStr">
        <is>
          <t>incident-reporter</t>
        </is>
      </c>
      <c r="E329">
        <f>HYPERLINK("http://gitlab.osmosys.co/incident-reporter/incident-reporter-app", "OQSHA Mobile App")</f>
        <v/>
      </c>
      <c r="F329">
        <f>HYPERLINK("http://gitlab.osmosys.co/incident-reporter/incident-reporter-app/-/merge_requests/1785", "fix: optimize dropdown filter on app")</f>
        <v/>
      </c>
      <c r="G329" t="inlineStr">
        <is>
          <t>fix/dropdown-filter-app</t>
        </is>
      </c>
      <c r="H329" t="inlineStr">
        <is>
          <t>sprint-17</t>
        </is>
      </c>
      <c r="I329" t="inlineStr">
        <is>
          <t>merged</t>
        </is>
      </c>
      <c r="J329" t="inlineStr">
        <is>
          <t>d8602d05a01d0b0201d2fd01920dc555318f6d41</t>
        </is>
      </c>
      <c r="K329">
        <f>HYPERLINK("http://gitlab.osmosys.co/incident-reporter/incident-reporter-app/-/merge_requests/1785#note_237955", "ok")</f>
        <v/>
      </c>
      <c r="L329" t="inlineStr">
        <is>
          <t>2025-07-16 22:18:42.401 IST</t>
        </is>
      </c>
      <c r="M329" t="inlineStr">
        <is>
          <t>Shreya Ved</t>
        </is>
      </c>
      <c r="N329" t="inlineStr">
        <is>
          <t>No</t>
        </is>
      </c>
      <c r="O329" t="inlineStr">
        <is>
          <t>Yes</t>
        </is>
      </c>
      <c r="P329" t="inlineStr">
        <is>
          <t>Soundariya B</t>
        </is>
      </c>
      <c r="Q329" t="inlineStr">
        <is>
          <t>Bad</t>
        </is>
      </c>
    </row>
    <row r="330">
      <c r="A330" t="inlineStr">
        <is>
          <t>shreya.v</t>
        </is>
      </c>
      <c r="B330" t="inlineStr">
        <is>
          <t>Shreya Ved</t>
        </is>
      </c>
      <c r="C330" t="inlineStr">
        <is>
          <t>shreya.v@osmosys.co</t>
        </is>
      </c>
      <c r="D330" t="inlineStr">
        <is>
          <t>incident-reporter</t>
        </is>
      </c>
      <c r="E330">
        <f>HYPERLINK("http://gitlab.osmosys.co/incident-reporter/incident-reporter-app", "OQSHA Mobile App")</f>
        <v/>
      </c>
      <c r="F330">
        <f>HYPERLINK("http://gitlab.osmosys.co/incident-reporter/incident-reporter-app/-/merge_requests/1785", "fix: optimize dropdown filter on app")</f>
        <v/>
      </c>
      <c r="G330" t="inlineStr">
        <is>
          <t>fix/dropdown-filter-app</t>
        </is>
      </c>
      <c r="H330" t="inlineStr">
        <is>
          <t>sprint-17</t>
        </is>
      </c>
      <c r="I330" t="inlineStr">
        <is>
          <t>merged</t>
        </is>
      </c>
      <c r="J330" t="inlineStr">
        <is>
          <t>ff2782808b16d8f600549355dae03cbce2ab1e59</t>
        </is>
      </c>
      <c r="K330">
        <f>HYPERLINK("http://gitlab.osmosys.co/incident-reporter/incident-reporter-app/-/merge_requests/1785#note_237671", "Shouldn't be like this - **this**.selectedCompaniesList.length !== allCompanies.length")</f>
        <v/>
      </c>
      <c r="L330" t="inlineStr">
        <is>
          <t>2025-07-16 16:35:42.637 IST</t>
        </is>
      </c>
      <c r="M330" t="inlineStr">
        <is>
          <t>Soundariya B</t>
        </is>
      </c>
      <c r="N330" t="inlineStr">
        <is>
          <t>Yes</t>
        </is>
      </c>
      <c r="O330" t="inlineStr">
        <is>
          <t>Yes</t>
        </is>
      </c>
      <c r="P330" t="inlineStr">
        <is>
          <t>Soundariya B</t>
        </is>
      </c>
      <c r="Q330" t="inlineStr">
        <is>
          <t>Bad</t>
        </is>
      </c>
    </row>
    <row r="331">
      <c r="A331" t="inlineStr">
        <is>
          <t>shreya.v</t>
        </is>
      </c>
      <c r="B331" t="inlineStr">
        <is>
          <t>Shreya Ved</t>
        </is>
      </c>
      <c r="C331" t="inlineStr">
        <is>
          <t>shreya.v@osmosys.co</t>
        </is>
      </c>
      <c r="D331" t="inlineStr">
        <is>
          <t>incident-reporter</t>
        </is>
      </c>
      <c r="E331">
        <f>HYPERLINK("http://gitlab.osmosys.co/incident-reporter/incident-reporter-app", "OQSHA Mobile App")</f>
        <v/>
      </c>
      <c r="F331">
        <f>HYPERLINK("http://gitlab.osmosys.co/incident-reporter/incident-reporter-app/-/merge_requests/1785", "fix: optimize dropdown filter on app")</f>
        <v/>
      </c>
      <c r="G331" t="inlineStr">
        <is>
          <t>fix/dropdown-filter-app</t>
        </is>
      </c>
      <c r="H331" t="inlineStr">
        <is>
          <t>sprint-17</t>
        </is>
      </c>
      <c r="I331" t="inlineStr">
        <is>
          <t>merged</t>
        </is>
      </c>
      <c r="J331" t="inlineStr">
        <is>
          <t>ff2782808b16d8f600549355dae03cbce2ab1e59</t>
        </is>
      </c>
      <c r="K331">
        <f>HYPERLINK("http://gitlab.osmosys.co/incident-reporter/incident-reporter-app/-/merge_requests/1785#note_237826", "ok")</f>
        <v/>
      </c>
      <c r="L331" t="inlineStr">
        <is>
          <t>2025-07-16 18:06:53.443 IST</t>
        </is>
      </c>
      <c r="M331" t="inlineStr">
        <is>
          <t>Shreya Ved</t>
        </is>
      </c>
      <c r="N331" t="inlineStr">
        <is>
          <t>No</t>
        </is>
      </c>
      <c r="O331" t="inlineStr">
        <is>
          <t>Yes</t>
        </is>
      </c>
      <c r="P331" t="inlineStr">
        <is>
          <t>Soundariya B</t>
        </is>
      </c>
      <c r="Q331" t="inlineStr">
        <is>
          <t>Bad</t>
        </is>
      </c>
    </row>
    <row r="332">
      <c r="A332" t="inlineStr">
        <is>
          <t>shreya.v</t>
        </is>
      </c>
      <c r="B332" t="inlineStr">
        <is>
          <t>Shreya Ved</t>
        </is>
      </c>
      <c r="C332" t="inlineStr">
        <is>
          <t>shreya.v@osmosys.co</t>
        </is>
      </c>
      <c r="D332" t="inlineStr">
        <is>
          <t>incident-reporter</t>
        </is>
      </c>
      <c r="E332">
        <f>HYPERLINK("http://gitlab.osmosys.co/incident-reporter/incident-reporter-app", "OQSHA Mobile App")</f>
        <v/>
      </c>
      <c r="F332">
        <f>HYPERLINK("http://gitlab.osmosys.co/incident-reporter/incident-reporter-app/-/merge_requests/1785", "fix: optimize dropdown filter on app")</f>
        <v/>
      </c>
      <c r="G332" t="inlineStr">
        <is>
          <t>fix/dropdown-filter-app</t>
        </is>
      </c>
      <c r="H332" t="inlineStr">
        <is>
          <t>sprint-17</t>
        </is>
      </c>
      <c r="I332" t="inlineStr">
        <is>
          <t>merged</t>
        </is>
      </c>
      <c r="J332" t="inlineStr">
        <is>
          <t>ff2782808b16d8f600549355dae03cbce2ab1e59</t>
        </is>
      </c>
      <c r="K332">
        <f>HYPERLINK("http://gitlab.osmosys.co/incident-reporter/incident-reporter-app/-/merge_requests/1785#note_237907", "No changes reflecting")</f>
        <v/>
      </c>
      <c r="L332" t="inlineStr">
        <is>
          <t>2025-07-16 20:19:12.521 IST</t>
        </is>
      </c>
      <c r="M332" t="inlineStr">
        <is>
          <t>Soundariya B</t>
        </is>
      </c>
      <c r="N332" t="inlineStr">
        <is>
          <t>Yes</t>
        </is>
      </c>
      <c r="O332" t="inlineStr">
        <is>
          <t>Yes</t>
        </is>
      </c>
      <c r="P332" t="inlineStr">
        <is>
          <t>Soundariya B</t>
        </is>
      </c>
      <c r="Q332" t="inlineStr">
        <is>
          <t>Bad</t>
        </is>
      </c>
    </row>
    <row r="333">
      <c r="A333" t="inlineStr">
        <is>
          <t>shreya.v</t>
        </is>
      </c>
      <c r="B333" t="inlineStr">
        <is>
          <t>Shreya Ved</t>
        </is>
      </c>
      <c r="C333" t="inlineStr">
        <is>
          <t>shreya.v@osmosys.co</t>
        </is>
      </c>
      <c r="D333" t="inlineStr">
        <is>
          <t>incident-reporter</t>
        </is>
      </c>
      <c r="E333">
        <f>HYPERLINK("http://gitlab.osmosys.co/incident-reporter/incident-reporter-app", "OQSHA Mobile App")</f>
        <v/>
      </c>
      <c r="F333">
        <f>HYPERLINK("http://gitlab.osmosys.co/incident-reporter/incident-reporter-app/-/merge_requests/1785", "fix: optimize dropdown filter on app")</f>
        <v/>
      </c>
      <c r="G333" t="inlineStr">
        <is>
          <t>fix/dropdown-filter-app</t>
        </is>
      </c>
      <c r="H333" t="inlineStr">
        <is>
          <t>sprint-17</t>
        </is>
      </c>
      <c r="I333" t="inlineStr">
        <is>
          <t>merged</t>
        </is>
      </c>
      <c r="J333" t="inlineStr">
        <is>
          <t>ff2782808b16d8f600549355dae03cbce2ab1e59</t>
        </is>
      </c>
      <c r="K333">
        <f>HYPERLINK("http://gitlab.osmosys.co/incident-reporter/incident-reporter-app/-/merge_requests/1785#note_237956", "ok")</f>
        <v/>
      </c>
      <c r="L333" t="inlineStr">
        <is>
          <t>2025-07-16 22:19:37.071 IST</t>
        </is>
      </c>
      <c r="M333" t="inlineStr">
        <is>
          <t>Shreya Ved</t>
        </is>
      </c>
      <c r="N333" t="inlineStr">
        <is>
          <t>No</t>
        </is>
      </c>
      <c r="O333" t="inlineStr">
        <is>
          <t>Yes</t>
        </is>
      </c>
      <c r="P333" t="inlineStr">
        <is>
          <t>Soundariya B</t>
        </is>
      </c>
      <c r="Q333" t="inlineStr">
        <is>
          <t>Bad</t>
        </is>
      </c>
    </row>
    <row r="334">
      <c r="A334" t="inlineStr">
        <is>
          <t>shreya.v</t>
        </is>
      </c>
      <c r="B334" t="inlineStr">
        <is>
          <t>Shreya Ved</t>
        </is>
      </c>
      <c r="C334" t="inlineStr">
        <is>
          <t>shreya.v@osmosys.co</t>
        </is>
      </c>
      <c r="D334" t="inlineStr">
        <is>
          <t>incident-reporter</t>
        </is>
      </c>
      <c r="E334">
        <f>HYPERLINK("http://gitlab.osmosys.co/incident-reporter/incident-reporter-app", "OQSHA Mobile App")</f>
        <v/>
      </c>
      <c r="F334">
        <f>HYPERLINK("http://gitlab.osmosys.co/incident-reporter/incident-reporter-app/-/merge_requests/1785", "fix: optimize dropdown filter on app")</f>
        <v/>
      </c>
      <c r="G334" t="inlineStr">
        <is>
          <t>fix/dropdown-filter-app</t>
        </is>
      </c>
      <c r="H334" t="inlineStr">
        <is>
          <t>sprint-17</t>
        </is>
      </c>
      <c r="I334" t="inlineStr">
        <is>
          <t>merged</t>
        </is>
      </c>
      <c r="J334" t="inlineStr">
        <is>
          <t>6ff9ed5f32c6fbe64d5ea65c38c8411aa99137a6</t>
        </is>
      </c>
      <c r="K334">
        <f>HYPERLINK("http://gitlab.osmosys.co/incident-reporter/incident-reporter-app/-/merge_requests/1785#note_237672", "Give the proper mapping variable names like companyId, siteId, divId")</f>
        <v/>
      </c>
      <c r="L334" t="inlineStr">
        <is>
          <t>2025-07-16 16:35:42.697 IST</t>
        </is>
      </c>
      <c r="M334" t="inlineStr">
        <is>
          <t>Soundariya B</t>
        </is>
      </c>
      <c r="N334" t="inlineStr">
        <is>
          <t>Yes</t>
        </is>
      </c>
      <c r="O334" t="inlineStr">
        <is>
          <t>Yes</t>
        </is>
      </c>
      <c r="P334" t="inlineStr">
        <is>
          <t>Soundariya B</t>
        </is>
      </c>
      <c r="Q334" t="inlineStr">
        <is>
          <t>Bad</t>
        </is>
      </c>
    </row>
    <row r="335">
      <c r="A335" t="inlineStr">
        <is>
          <t>shreya.v</t>
        </is>
      </c>
      <c r="B335" t="inlineStr">
        <is>
          <t>Shreya Ved</t>
        </is>
      </c>
      <c r="C335" t="inlineStr">
        <is>
          <t>shreya.v@osmosys.co</t>
        </is>
      </c>
      <c r="D335" t="inlineStr">
        <is>
          <t>incident-reporter</t>
        </is>
      </c>
      <c r="E335">
        <f>HYPERLINK("http://gitlab.osmosys.co/incident-reporter/incident-reporter-app", "OQSHA Mobile App")</f>
        <v/>
      </c>
      <c r="F335">
        <f>HYPERLINK("http://gitlab.osmosys.co/incident-reporter/incident-reporter-app/-/merge_requests/1785", "fix: optimize dropdown filter on app")</f>
        <v/>
      </c>
      <c r="G335" t="inlineStr">
        <is>
          <t>fix/dropdown-filter-app</t>
        </is>
      </c>
      <c r="H335" t="inlineStr">
        <is>
          <t>sprint-17</t>
        </is>
      </c>
      <c r="I335" t="inlineStr">
        <is>
          <t>merged</t>
        </is>
      </c>
      <c r="J335" t="inlineStr">
        <is>
          <t>6ff9ed5f32c6fbe64d5ea65c38c8411aa99137a6</t>
        </is>
      </c>
      <c r="K335">
        <f>HYPERLINK("http://gitlab.osmosys.co/incident-reporter/incident-reporter-app/-/merge_requests/1785#note_237840", "done")</f>
        <v/>
      </c>
      <c r="L335" t="inlineStr">
        <is>
          <t>2025-07-16 18:23:27.438 IST</t>
        </is>
      </c>
      <c r="M335" t="inlineStr">
        <is>
          <t>Shreya Ved</t>
        </is>
      </c>
      <c r="N335" t="inlineStr">
        <is>
          <t>No</t>
        </is>
      </c>
      <c r="O335" t="inlineStr">
        <is>
          <t>Yes</t>
        </is>
      </c>
      <c r="P335" t="inlineStr">
        <is>
          <t>Soundariya B</t>
        </is>
      </c>
      <c r="Q335" t="inlineStr">
        <is>
          <t>Bad</t>
        </is>
      </c>
    </row>
    <row r="336">
      <c r="A336" t="inlineStr">
        <is>
          <t>shreya.v</t>
        </is>
      </c>
      <c r="B336" t="inlineStr">
        <is>
          <t>Shreya Ved</t>
        </is>
      </c>
      <c r="C336" t="inlineStr">
        <is>
          <t>shreya.v@osmosys.co</t>
        </is>
      </c>
      <c r="D336" t="inlineStr">
        <is>
          <t>incident-reporter</t>
        </is>
      </c>
      <c r="E336">
        <f>HYPERLINK("http://gitlab.osmosys.co/incident-reporter/incident-reporter-app", "OQSHA Mobile App")</f>
        <v/>
      </c>
      <c r="F336">
        <f>HYPERLINK("http://gitlab.osmosys.co/incident-reporter/incident-reporter-app/-/merge_requests/1785", "fix: optimize dropdown filter on app")</f>
        <v/>
      </c>
      <c r="G336" t="inlineStr">
        <is>
          <t>fix/dropdown-filter-app</t>
        </is>
      </c>
      <c r="H336" t="inlineStr">
        <is>
          <t>sprint-17</t>
        </is>
      </c>
      <c r="I336" t="inlineStr">
        <is>
          <t>merged</t>
        </is>
      </c>
      <c r="J336" t="inlineStr">
        <is>
          <t>6ff9ed5f32c6fbe64d5ea65c38c8411aa99137a6</t>
        </is>
      </c>
      <c r="K336">
        <f>HYPERLINK("http://gitlab.osmosys.co/incident-reporter/incident-reporter-app/-/merge_requests/1785#note_237906", "I can't see any changes what id asked still I am seeing the 'Id'")</f>
        <v/>
      </c>
      <c r="L336" t="inlineStr">
        <is>
          <t>2025-07-16 20:18:45.410 IST</t>
        </is>
      </c>
      <c r="M336" t="inlineStr">
        <is>
          <t>Soundariya B</t>
        </is>
      </c>
      <c r="N336" t="inlineStr">
        <is>
          <t>Yes</t>
        </is>
      </c>
      <c r="O336" t="inlineStr">
        <is>
          <t>Yes</t>
        </is>
      </c>
      <c r="P336" t="inlineStr">
        <is>
          <t>Soundariya B</t>
        </is>
      </c>
      <c r="Q336" t="inlineStr">
        <is>
          <t>Bad</t>
        </is>
      </c>
    </row>
    <row r="337">
      <c r="A337" t="inlineStr">
        <is>
          <t>shreya.v</t>
        </is>
      </c>
      <c r="B337" t="inlineStr">
        <is>
          <t>Shreya Ved</t>
        </is>
      </c>
      <c r="C337" t="inlineStr">
        <is>
          <t>shreya.v@osmosys.co</t>
        </is>
      </c>
      <c r="D337" t="inlineStr">
        <is>
          <t>incident-reporter</t>
        </is>
      </c>
      <c r="E337">
        <f>HYPERLINK("http://gitlab.osmosys.co/incident-reporter/incident-reporter-app", "OQSHA Mobile App")</f>
        <v/>
      </c>
      <c r="F337">
        <f>HYPERLINK("http://gitlab.osmosys.co/incident-reporter/incident-reporter-app/-/merge_requests/1785", "fix: optimize dropdown filter on app")</f>
        <v/>
      </c>
      <c r="G337" t="inlineStr">
        <is>
          <t>fix/dropdown-filter-app</t>
        </is>
      </c>
      <c r="H337" t="inlineStr">
        <is>
          <t>sprint-17</t>
        </is>
      </c>
      <c r="I337" t="inlineStr">
        <is>
          <t>merged</t>
        </is>
      </c>
      <c r="J337" t="inlineStr">
        <is>
          <t>6ff9ed5f32c6fbe64d5ea65c38c8411aa99137a6</t>
        </is>
      </c>
      <c r="K337">
        <f>HYPERLINK("http://gitlab.osmosys.co/incident-reporter/incident-reporter-app/-/merge_requests/1785#note_237962", "ok")</f>
        <v/>
      </c>
      <c r="L337" t="inlineStr">
        <is>
          <t>2025-07-16 22:51:59.528 IST</t>
        </is>
      </c>
      <c r="M337" t="inlineStr">
        <is>
          <t>Shreya Ved</t>
        </is>
      </c>
      <c r="N337" t="inlineStr">
        <is>
          <t>No</t>
        </is>
      </c>
      <c r="O337" t="inlineStr">
        <is>
          <t>Yes</t>
        </is>
      </c>
      <c r="P337" t="inlineStr">
        <is>
          <t>Soundariya B</t>
        </is>
      </c>
      <c r="Q337" t="inlineStr">
        <is>
          <t>Bad</t>
        </is>
      </c>
    </row>
    <row r="338">
      <c r="A338" t="inlineStr">
        <is>
          <t>shreya.v</t>
        </is>
      </c>
      <c r="B338" t="inlineStr">
        <is>
          <t>Shreya Ved</t>
        </is>
      </c>
      <c r="C338" t="inlineStr">
        <is>
          <t>shreya.v@osmosys.co</t>
        </is>
      </c>
      <c r="D338" t="inlineStr">
        <is>
          <t>incident-reporter</t>
        </is>
      </c>
      <c r="E338">
        <f>HYPERLINK("http://gitlab.osmosys.co/incident-reporter/incident-reporter-app", "OQSHA Mobile App")</f>
        <v/>
      </c>
      <c r="F338">
        <f>HYPERLINK("http://gitlab.osmosys.co/incident-reporter/incident-reporter-app/-/merge_requests/1785", "fix: optimize dropdown filter on app")</f>
        <v/>
      </c>
      <c r="G338" t="inlineStr">
        <is>
          <t>fix/dropdown-filter-app</t>
        </is>
      </c>
      <c r="H338" t="inlineStr">
        <is>
          <t>sprint-17</t>
        </is>
      </c>
      <c r="I338" t="inlineStr">
        <is>
          <t>merged</t>
        </is>
      </c>
      <c r="J338" t="inlineStr">
        <is>
          <t>69449e16e77083f599d60ab3a926d25649f86f09</t>
        </is>
      </c>
      <c r="K338">
        <f>HYPERLINK("http://gitlab.osmosys.co/incident-reporter/incident-reporter-app/-/merge_requests/1785#note_237673", "Can't be take from PSSR Service instead from other place?")</f>
        <v/>
      </c>
      <c r="L338" t="inlineStr">
        <is>
          <t>2025-07-16 16:35:42.778 IST</t>
        </is>
      </c>
      <c r="M338" t="inlineStr">
        <is>
          <t>Soundariya B</t>
        </is>
      </c>
      <c r="N338" t="inlineStr">
        <is>
          <t>Yes</t>
        </is>
      </c>
      <c r="O338" t="inlineStr">
        <is>
          <t>Yes</t>
        </is>
      </c>
      <c r="P338" t="inlineStr">
        <is>
          <t>Soundariya B</t>
        </is>
      </c>
      <c r="Q338" t="inlineStr">
        <is>
          <t>Neutral</t>
        </is>
      </c>
    </row>
    <row r="339">
      <c r="A339" t="inlineStr">
        <is>
          <t>shreya.v</t>
        </is>
      </c>
      <c r="B339" t="inlineStr">
        <is>
          <t>Shreya Ved</t>
        </is>
      </c>
      <c r="C339" t="inlineStr">
        <is>
          <t>shreya.v@osmosys.co</t>
        </is>
      </c>
      <c r="D339" t="inlineStr">
        <is>
          <t>incident-reporter</t>
        </is>
      </c>
      <c r="E339">
        <f>HYPERLINK("http://gitlab.osmosys.co/incident-reporter/incident-reporter-app", "OQSHA Mobile App")</f>
        <v/>
      </c>
      <c r="F339">
        <f>HYPERLINK("http://gitlab.osmosys.co/incident-reporter/incident-reporter-app/-/merge_requests/1785", "fix: optimize dropdown filter on app")</f>
        <v/>
      </c>
      <c r="G339" t="inlineStr">
        <is>
          <t>fix/dropdown-filter-app</t>
        </is>
      </c>
      <c r="H339" t="inlineStr">
        <is>
          <t>sprint-17</t>
        </is>
      </c>
      <c r="I339" t="inlineStr">
        <is>
          <t>merged</t>
        </is>
      </c>
      <c r="J339" t="inlineStr">
        <is>
          <t>69449e16e77083f599d60ab3a926d25649f86f09</t>
        </is>
      </c>
      <c r="K339">
        <f>HYPERLINK("http://gitlab.osmosys.co/incident-reporter/incident-reporter-app/-/merge_requests/1785#note_237722", "This is the new dropdown added and it was not changed here. On filters page it was being taken from here so used the same.")</f>
        <v/>
      </c>
      <c r="L339" t="inlineStr">
        <is>
          <t>2025-07-16 17:01:49.987 IST</t>
        </is>
      </c>
      <c r="M339" t="inlineStr">
        <is>
          <t>Shreya Ved</t>
        </is>
      </c>
      <c r="N339" t="inlineStr">
        <is>
          <t>No</t>
        </is>
      </c>
      <c r="O339" t="inlineStr">
        <is>
          <t>Yes</t>
        </is>
      </c>
      <c r="P339" t="inlineStr">
        <is>
          <t>Soundariya B</t>
        </is>
      </c>
      <c r="Q339" t="inlineStr">
        <is>
          <t>Neutral</t>
        </is>
      </c>
    </row>
    <row r="340">
      <c r="A340" t="inlineStr">
        <is>
          <t>shreya.v</t>
        </is>
      </c>
      <c r="B340" t="inlineStr">
        <is>
          <t>Shreya Ved</t>
        </is>
      </c>
      <c r="C340" t="inlineStr">
        <is>
          <t>shreya.v@osmosys.co</t>
        </is>
      </c>
      <c r="D340" t="inlineStr">
        <is>
          <t>incident-reporter</t>
        </is>
      </c>
      <c r="E340">
        <f>HYPERLINK("http://gitlab.osmosys.co/incident-reporter/incident-reporter-app", "OQSHA Mobile App")</f>
        <v/>
      </c>
      <c r="F340">
        <f>HYPERLINK("http://gitlab.osmosys.co/incident-reporter/incident-reporter-app/-/merge_requests/1785", "fix: optimize dropdown filter on app")</f>
        <v/>
      </c>
      <c r="G340" t="inlineStr">
        <is>
          <t>fix/dropdown-filter-app</t>
        </is>
      </c>
      <c r="H340" t="inlineStr">
        <is>
          <t>sprint-17</t>
        </is>
      </c>
      <c r="I340" t="inlineStr">
        <is>
          <t>merged</t>
        </is>
      </c>
      <c r="J340" t="inlineStr">
        <is>
          <t>69449e16e77083f599d60ab3a926d25649f86f09</t>
        </is>
      </c>
      <c r="K340">
        <f>HYPERLINK("http://gitlab.osmosys.co/incident-reporter/incident-reporter-app/-/merge_requests/1785#note_237902", "I didn't get it, I said why this api function not taken from pssr service?")</f>
        <v/>
      </c>
      <c r="L340" t="inlineStr">
        <is>
          <t>2025-07-16 20:13:59.192 IST</t>
        </is>
      </c>
      <c r="M340" t="inlineStr">
        <is>
          <t>Soundariya B</t>
        </is>
      </c>
      <c r="N340" t="inlineStr">
        <is>
          <t>Yes</t>
        </is>
      </c>
      <c r="O340" t="inlineStr">
        <is>
          <t>Yes</t>
        </is>
      </c>
      <c r="P340" t="inlineStr">
        <is>
          <t>Soundariya B</t>
        </is>
      </c>
      <c r="Q340" t="inlineStr">
        <is>
          <t>Neutral</t>
        </is>
      </c>
    </row>
    <row r="341">
      <c r="A341" t="inlineStr">
        <is>
          <t>shreya.v</t>
        </is>
      </c>
      <c r="B341" t="inlineStr">
        <is>
          <t>Shreya Ved</t>
        </is>
      </c>
      <c r="C341" t="inlineStr">
        <is>
          <t>shreya.v@osmosys.co</t>
        </is>
      </c>
      <c r="D341" t="inlineStr">
        <is>
          <t>incident-reporter</t>
        </is>
      </c>
      <c r="E341">
        <f>HYPERLINK("http://gitlab.osmosys.co/incident-reporter/incident-reporter-app", "OQSHA Mobile App")</f>
        <v/>
      </c>
      <c r="F341">
        <f>HYPERLINK("http://gitlab.osmosys.co/incident-reporter/incident-reporter-app/-/merge_requests/1785", "fix: optimize dropdown filter on app")</f>
        <v/>
      </c>
      <c r="G341" t="inlineStr">
        <is>
          <t>fix/dropdown-filter-app</t>
        </is>
      </c>
      <c r="H341" t="inlineStr">
        <is>
          <t>sprint-17</t>
        </is>
      </c>
      <c r="I341" t="inlineStr">
        <is>
          <t>merged</t>
        </is>
      </c>
      <c r="J341" t="inlineStr">
        <is>
          <t>69449e16e77083f599d60ab3a926d25649f86f09</t>
        </is>
      </c>
      <c r="K341">
        <f>HYPERLINK("http://gitlab.osmosys.co/incident-reporter/incident-reporter-app/-/merge_requests/1785#note_237933", "I am reusing the function like you say always? earlier also it reuses it from ptw service")</f>
        <v/>
      </c>
      <c r="L341" t="inlineStr">
        <is>
          <t>2025-07-16 21:43:14.063 IST</t>
        </is>
      </c>
      <c r="M341" t="inlineStr">
        <is>
          <t>Shreya Ved</t>
        </is>
      </c>
      <c r="N341" t="inlineStr">
        <is>
          <t>No</t>
        </is>
      </c>
      <c r="O341" t="inlineStr">
        <is>
          <t>Yes</t>
        </is>
      </c>
      <c r="P341" t="inlineStr">
        <is>
          <t>Soundariya B</t>
        </is>
      </c>
      <c r="Q341" t="inlineStr">
        <is>
          <t>Neutral</t>
        </is>
      </c>
    </row>
    <row r="342">
      <c r="A342" t="inlineStr">
        <is>
          <t>shreya.v</t>
        </is>
      </c>
      <c r="B342" t="inlineStr">
        <is>
          <t>Shreya Ved</t>
        </is>
      </c>
      <c r="C342" t="inlineStr">
        <is>
          <t>shreya.v@osmosys.co</t>
        </is>
      </c>
      <c r="D342" t="inlineStr">
        <is>
          <t>incident-reporter</t>
        </is>
      </c>
      <c r="E342">
        <f>HYPERLINK("http://gitlab.osmosys.co/incident-reporter/incident-reporter-app", "OQSHA Mobile App")</f>
        <v/>
      </c>
      <c r="F342">
        <f>HYPERLINK("http://gitlab.osmosys.co/incident-reporter/incident-reporter-app/-/merge_requests/1785", "fix: optimize dropdown filter on app")</f>
        <v/>
      </c>
      <c r="G342" t="inlineStr">
        <is>
          <t>fix/dropdown-filter-app</t>
        </is>
      </c>
      <c r="H342" t="inlineStr">
        <is>
          <t>sprint-17</t>
        </is>
      </c>
      <c r="I342" t="inlineStr">
        <is>
          <t>merged</t>
        </is>
      </c>
      <c r="J342" t="inlineStr">
        <is>
          <t>4a6f6bd84d6851b11b0c25af27a344c6d99da5ba</t>
        </is>
      </c>
      <c r="K342">
        <f>HYPERLINK("http://gitlab.osmosys.co/incident-reporter/incident-reporter-app/-/merge_requests/1785#note_237674", "Remove one - resp.Data")</f>
        <v/>
      </c>
      <c r="L342" t="inlineStr">
        <is>
          <t>2025-07-16 16:35:42.827 IST</t>
        </is>
      </c>
      <c r="M342" t="inlineStr">
        <is>
          <t>Soundariya B</t>
        </is>
      </c>
      <c r="N342" t="inlineStr">
        <is>
          <t>Yes</t>
        </is>
      </c>
      <c r="O342" t="inlineStr">
        <is>
          <t>Yes</t>
        </is>
      </c>
      <c r="P342" t="inlineStr">
        <is>
          <t>Soundariya B</t>
        </is>
      </c>
      <c r="Q342" t="inlineStr">
        <is>
          <t>Bad</t>
        </is>
      </c>
    </row>
    <row r="343">
      <c r="A343" t="inlineStr">
        <is>
          <t>shreya.v</t>
        </is>
      </c>
      <c r="B343" t="inlineStr">
        <is>
          <t>Shreya Ved</t>
        </is>
      </c>
      <c r="C343" t="inlineStr">
        <is>
          <t>shreya.v@osmosys.co</t>
        </is>
      </c>
      <c r="D343" t="inlineStr">
        <is>
          <t>incident-reporter</t>
        </is>
      </c>
      <c r="E343">
        <f>HYPERLINK("http://gitlab.osmosys.co/incident-reporter/incident-reporter-app", "OQSHA Mobile App")</f>
        <v/>
      </c>
      <c r="F343">
        <f>HYPERLINK("http://gitlab.osmosys.co/incident-reporter/incident-reporter-app/-/merge_requests/1785", "fix: optimize dropdown filter on app")</f>
        <v/>
      </c>
      <c r="G343" t="inlineStr">
        <is>
          <t>fix/dropdown-filter-app</t>
        </is>
      </c>
      <c r="H343" t="inlineStr">
        <is>
          <t>sprint-17</t>
        </is>
      </c>
      <c r="I343" t="inlineStr">
        <is>
          <t>merged</t>
        </is>
      </c>
      <c r="J343" t="inlineStr">
        <is>
          <t>4a6f6bd84d6851b11b0c25af27a344c6d99da5ba</t>
        </is>
      </c>
      <c r="K343">
        <f>HYPERLINK("http://gitlab.osmosys.co/incident-reporter/incident-reporter-app/-/merge_requests/1785#note_237832", "ok")</f>
        <v/>
      </c>
      <c r="L343" t="inlineStr">
        <is>
          <t>2025-07-16 18:13:36.012 IST</t>
        </is>
      </c>
      <c r="M343" t="inlineStr">
        <is>
          <t>Shreya Ved</t>
        </is>
      </c>
      <c r="N343" t="inlineStr">
        <is>
          <t>No</t>
        </is>
      </c>
      <c r="O343" t="inlineStr">
        <is>
          <t>Yes</t>
        </is>
      </c>
      <c r="P343" t="inlineStr">
        <is>
          <t>Soundariya B</t>
        </is>
      </c>
      <c r="Q343" t="inlineStr">
        <is>
          <t>Bad</t>
        </is>
      </c>
    </row>
    <row r="344">
      <c r="A344" t="inlineStr">
        <is>
          <t>shreya.v</t>
        </is>
      </c>
      <c r="B344" t="inlineStr">
        <is>
          <t>Shreya Ved</t>
        </is>
      </c>
      <c r="C344" t="inlineStr">
        <is>
          <t>shreya.v@osmosys.co</t>
        </is>
      </c>
      <c r="D344" t="inlineStr">
        <is>
          <t>incident-reporter</t>
        </is>
      </c>
      <c r="E344">
        <f>HYPERLINK("http://gitlab.osmosys.co/incident-reporter/incident-reporter-app", "OQSHA Mobile App")</f>
        <v/>
      </c>
      <c r="F344">
        <f>HYPERLINK("http://gitlab.osmosys.co/incident-reporter/incident-reporter-app/-/merge_requests/1785", "fix: optimize dropdown filter on app")</f>
        <v/>
      </c>
      <c r="G344" t="inlineStr">
        <is>
          <t>fix/dropdown-filter-app</t>
        </is>
      </c>
      <c r="H344" t="inlineStr">
        <is>
          <t>sprint-17</t>
        </is>
      </c>
      <c r="I344" t="inlineStr">
        <is>
          <t>merged</t>
        </is>
      </c>
      <c r="J344" t="inlineStr">
        <is>
          <t>83439943e98c81fdf6dd0dc35c4302152dd5ad2b</t>
        </is>
      </c>
      <c r="K344">
        <f>HYPERLINK("http://gitlab.osmosys.co/incident-reporter/incident-reporter-app/-/merge_requests/1785#note_237675", "\`logger is missing here")</f>
        <v/>
      </c>
      <c r="L344" t="inlineStr">
        <is>
          <t>2025-07-16 16:35:42.889 IST</t>
        </is>
      </c>
      <c r="M344" t="inlineStr">
        <is>
          <t>Soundariya B</t>
        </is>
      </c>
      <c r="N344" t="inlineStr">
        <is>
          <t>Yes</t>
        </is>
      </c>
      <c r="O344" t="inlineStr">
        <is>
          <t>Yes</t>
        </is>
      </c>
      <c r="P344" t="inlineStr">
        <is>
          <t>Soundariya B</t>
        </is>
      </c>
      <c r="Q344" t="inlineStr">
        <is>
          <t>Neutral</t>
        </is>
      </c>
    </row>
    <row r="345">
      <c r="A345" t="inlineStr">
        <is>
          <t>shreya.v</t>
        </is>
      </c>
      <c r="B345" t="inlineStr">
        <is>
          <t>Shreya Ved</t>
        </is>
      </c>
      <c r="C345" t="inlineStr">
        <is>
          <t>shreya.v@osmosys.co</t>
        </is>
      </c>
      <c r="D345" t="inlineStr">
        <is>
          <t>incident-reporter</t>
        </is>
      </c>
      <c r="E345">
        <f>HYPERLINK("http://gitlab.osmosys.co/incident-reporter/incident-reporter-app", "OQSHA Mobile App")</f>
        <v/>
      </c>
      <c r="F345">
        <f>HYPERLINK("http://gitlab.osmosys.co/incident-reporter/incident-reporter-app/-/merge_requests/1785", "fix: optimize dropdown filter on app")</f>
        <v/>
      </c>
      <c r="G345" t="inlineStr">
        <is>
          <t>fix/dropdown-filter-app</t>
        </is>
      </c>
      <c r="H345" t="inlineStr">
        <is>
          <t>sprint-17</t>
        </is>
      </c>
      <c r="I345" t="inlineStr">
        <is>
          <t>merged</t>
        </is>
      </c>
      <c r="J345" t="inlineStr">
        <is>
          <t>83439943e98c81fdf6dd0dc35c4302152dd5ad2b</t>
        </is>
      </c>
      <c r="K345">
        <f>HYPERLINK("http://gitlab.osmosys.co/incident-reporter/incident-reporter-app/-/merge_requests/1785#note_237846", "![image](/uploads/ebe444961e361c6f086618fd887ef05b/image.png){width=528 height=107}
It is already present")</f>
        <v/>
      </c>
      <c r="L345" t="inlineStr">
        <is>
          <t>2025-07-16 18:27:20.101 IST</t>
        </is>
      </c>
      <c r="M345" t="inlineStr">
        <is>
          <t>Shreya Ved</t>
        </is>
      </c>
      <c r="N345" t="inlineStr">
        <is>
          <t>No</t>
        </is>
      </c>
      <c r="O345" t="inlineStr">
        <is>
          <t>Yes</t>
        </is>
      </c>
      <c r="P345" t="inlineStr">
        <is>
          <t>Soundariya B</t>
        </is>
      </c>
      <c r="Q345" t="inlineStr">
        <is>
          <t>Neutral</t>
        </is>
      </c>
    </row>
    <row r="346">
      <c r="A346" t="inlineStr">
        <is>
          <t>shreya.v</t>
        </is>
      </c>
      <c r="B346" t="inlineStr">
        <is>
          <t>Shreya Ved</t>
        </is>
      </c>
      <c r="C346" t="inlineStr">
        <is>
          <t>shreya.v@osmosys.co</t>
        </is>
      </c>
      <c r="D346" t="inlineStr">
        <is>
          <t>incident-reporter</t>
        </is>
      </c>
      <c r="E346">
        <f>HYPERLINK("http://gitlab.osmosys.co/incident-reporter/incident-reporter-app", "OQSHA Mobile App")</f>
        <v/>
      </c>
      <c r="F346">
        <f>HYPERLINK("http://gitlab.osmosys.co/incident-reporter/incident-reporter-app/-/merge_requests/1785", "fix: optimize dropdown filter on app")</f>
        <v/>
      </c>
      <c r="G346" t="inlineStr">
        <is>
          <t>fix/dropdown-filter-app</t>
        </is>
      </c>
      <c r="H346" t="inlineStr">
        <is>
          <t>sprint-17</t>
        </is>
      </c>
      <c r="I346" t="inlineStr">
        <is>
          <t>merged</t>
        </is>
      </c>
      <c r="J346" t="inlineStr">
        <is>
          <t>1095a55ff4c1889c7d590d4fc0f2f28fedb2a8db</t>
        </is>
      </c>
      <c r="K346">
        <f>HYPERLINK("http://gitlab.osmosys.co/incident-reporter/incident-reporter-app/-/merge_requests/1785#note_237676", "Same here and also using more than 1 places so can you please fix it")</f>
        <v/>
      </c>
      <c r="L346" t="inlineStr">
        <is>
          <t>2025-07-16 16:35:42.974 IST</t>
        </is>
      </c>
      <c r="M346" t="inlineStr">
        <is>
          <t>Soundariya B</t>
        </is>
      </c>
      <c r="N346" t="inlineStr">
        <is>
          <t>Yes</t>
        </is>
      </c>
      <c r="O346" t="inlineStr">
        <is>
          <t>Yes</t>
        </is>
      </c>
      <c r="P346" t="inlineStr">
        <is>
          <t>Soundariya B</t>
        </is>
      </c>
      <c r="Q346" t="inlineStr">
        <is>
          <t>Bad</t>
        </is>
      </c>
    </row>
    <row r="347">
      <c r="A347" t="inlineStr">
        <is>
          <t>shreya.v</t>
        </is>
      </c>
      <c r="B347" t="inlineStr">
        <is>
          <t>Shreya Ved</t>
        </is>
      </c>
      <c r="C347" t="inlineStr">
        <is>
          <t>shreya.v@osmosys.co</t>
        </is>
      </c>
      <c r="D347" t="inlineStr">
        <is>
          <t>incident-reporter</t>
        </is>
      </c>
      <c r="E347">
        <f>HYPERLINK("http://gitlab.osmosys.co/incident-reporter/incident-reporter-app", "OQSHA Mobile App")</f>
        <v/>
      </c>
      <c r="F347">
        <f>HYPERLINK("http://gitlab.osmosys.co/incident-reporter/incident-reporter-app/-/merge_requests/1785", "fix: optimize dropdown filter on app")</f>
        <v/>
      </c>
      <c r="G347" t="inlineStr">
        <is>
          <t>fix/dropdown-filter-app</t>
        </is>
      </c>
      <c r="H347" t="inlineStr">
        <is>
          <t>sprint-17</t>
        </is>
      </c>
      <c r="I347" t="inlineStr">
        <is>
          <t>merged</t>
        </is>
      </c>
      <c r="J347" t="inlineStr">
        <is>
          <t>1095a55ff4c1889c7d590d4fc0f2f28fedb2a8db</t>
        </is>
      </c>
      <c r="K347">
        <f>HYPERLINK("http://gitlab.osmosys.co/incident-reporter/incident-reporter-app/-/merge_requests/1785#note_237824", "![image](/uploads/49ad2e498e725172ab873475564ece2f/image.png){width=531 height=199}")</f>
        <v/>
      </c>
      <c r="L347" t="inlineStr">
        <is>
          <t>2025-07-16 18:05:29.648 IST</t>
        </is>
      </c>
      <c r="M347" t="inlineStr">
        <is>
          <t>Shreya Ved</t>
        </is>
      </c>
      <c r="N347" t="inlineStr">
        <is>
          <t>No</t>
        </is>
      </c>
      <c r="O347" t="inlineStr">
        <is>
          <t>Yes</t>
        </is>
      </c>
      <c r="P347" t="inlineStr">
        <is>
          <t>Soundariya B</t>
        </is>
      </c>
      <c r="Q347" t="inlineStr">
        <is>
          <t>Bad</t>
        </is>
      </c>
    </row>
    <row r="348">
      <c r="A348" t="inlineStr">
        <is>
          <t>shreya.v</t>
        </is>
      </c>
      <c r="B348" t="inlineStr">
        <is>
          <t>Shreya Ved</t>
        </is>
      </c>
      <c r="C348" t="inlineStr">
        <is>
          <t>shreya.v@osmosys.co</t>
        </is>
      </c>
      <c r="D348" t="inlineStr">
        <is>
          <t>incident-reporter</t>
        </is>
      </c>
      <c r="E348">
        <f>HYPERLINK("http://gitlab.osmosys.co/incident-reporter/incident-reporter-app", "OQSHA Mobile App")</f>
        <v/>
      </c>
      <c r="F348">
        <f>HYPERLINK("http://gitlab.osmosys.co/incident-reporter/incident-reporter-app/-/merge_requests/1785", "fix: optimize dropdown filter on app")</f>
        <v/>
      </c>
      <c r="G348" t="inlineStr">
        <is>
          <t>fix/dropdown-filter-app</t>
        </is>
      </c>
      <c r="H348" t="inlineStr">
        <is>
          <t>sprint-17</t>
        </is>
      </c>
      <c r="I348" t="inlineStr">
        <is>
          <t>merged</t>
        </is>
      </c>
      <c r="J348" t="inlineStr">
        <is>
          <t>1095a55ff4c1889c7d590d4fc0f2f28fedb2a8db</t>
        </is>
      </c>
      <c r="K348">
        <f>HYPERLINK("http://gitlab.osmosys.co/incident-reporter/incident-reporter-app/-/merge_requests/1785#note_237839", "Destructuring is clearer but the optional chaining (?.) prevents runtime errors if storedFeedFilter is null or undefined.")</f>
        <v/>
      </c>
      <c r="L348" t="inlineStr">
        <is>
          <t>2025-07-16 18:20:54.533 IST</t>
        </is>
      </c>
      <c r="M348" t="inlineStr">
        <is>
          <t>Shreya Ved</t>
        </is>
      </c>
      <c r="N348" t="inlineStr">
        <is>
          <t>No</t>
        </is>
      </c>
      <c r="O348" t="inlineStr">
        <is>
          <t>Yes</t>
        </is>
      </c>
      <c r="P348" t="inlineStr">
        <is>
          <t>Soundariya B</t>
        </is>
      </c>
      <c r="Q348" t="inlineStr">
        <is>
          <t>Bad</t>
        </is>
      </c>
    </row>
    <row r="349">
      <c r="A349" t="inlineStr">
        <is>
          <t>shreya.v</t>
        </is>
      </c>
      <c r="B349" t="inlineStr">
        <is>
          <t>Shreya Ved</t>
        </is>
      </c>
      <c r="C349" t="inlineStr">
        <is>
          <t>shreya.v@osmosys.co</t>
        </is>
      </c>
      <c r="D349" t="inlineStr">
        <is>
          <t>incident-reporter</t>
        </is>
      </c>
      <c r="E349">
        <f>HYPERLINK("http://gitlab.osmosys.co/incident-reporter/incident-reporter-app", "OQSHA Mobile App")</f>
        <v/>
      </c>
      <c r="F349">
        <f>HYPERLINK("http://gitlab.osmosys.co/incident-reporter/incident-reporter-app/-/merge_requests/1785", "fix: optimize dropdown filter on app")</f>
        <v/>
      </c>
      <c r="G349" t="inlineStr">
        <is>
          <t>fix/dropdown-filter-app</t>
        </is>
      </c>
      <c r="H349" t="inlineStr">
        <is>
          <t>sprint-17</t>
        </is>
      </c>
      <c r="I349" t="inlineStr">
        <is>
          <t>merged</t>
        </is>
      </c>
      <c r="J349" t="inlineStr">
        <is>
          <t>1095a55ff4c1889c7d590d4fc0f2f28fedb2a8db</t>
        </is>
      </c>
      <c r="K349">
        <f>HYPERLINK("http://gitlab.osmosys.co/incident-reporter/incident-reporter-app/-/merge_requests/1785#note_237904", "Mentioned above about same and also it clearly seen the code repetition")</f>
        <v/>
      </c>
      <c r="L349" t="inlineStr">
        <is>
          <t>2025-07-16 20:15:01.319 IST</t>
        </is>
      </c>
      <c r="M349" t="inlineStr">
        <is>
          <t>Soundariya B</t>
        </is>
      </c>
      <c r="N349" t="inlineStr">
        <is>
          <t>Yes</t>
        </is>
      </c>
      <c r="O349" t="inlineStr">
        <is>
          <t>Yes</t>
        </is>
      </c>
      <c r="P349" t="inlineStr">
        <is>
          <t>Soundariya B</t>
        </is>
      </c>
      <c r="Q349" t="inlineStr">
        <is>
          <t>Bad</t>
        </is>
      </c>
    </row>
    <row r="350">
      <c r="A350" t="inlineStr">
        <is>
          <t>shreya.v</t>
        </is>
      </c>
      <c r="B350" t="inlineStr">
        <is>
          <t>Shreya Ved</t>
        </is>
      </c>
      <c r="C350" t="inlineStr">
        <is>
          <t>shreya.v@osmosys.co</t>
        </is>
      </c>
      <c r="D350" t="inlineStr">
        <is>
          <t>incident-reporter</t>
        </is>
      </c>
      <c r="E350">
        <f>HYPERLINK("http://gitlab.osmosys.co/incident-reporter/incident-reporter-app", "OQSHA Mobile App")</f>
        <v/>
      </c>
      <c r="F350">
        <f>HYPERLINK("http://gitlab.osmosys.co/incident-reporter/incident-reporter-app/-/merge_requests/1785", "fix: optimize dropdown filter on app")</f>
        <v/>
      </c>
      <c r="G350" t="inlineStr">
        <is>
          <t>fix/dropdown-filter-app</t>
        </is>
      </c>
      <c r="H350" t="inlineStr">
        <is>
          <t>sprint-17</t>
        </is>
      </c>
      <c r="I350" t="inlineStr">
        <is>
          <t>merged</t>
        </is>
      </c>
      <c r="J350" t="inlineStr">
        <is>
          <t>1095a55ff4c1889c7d590d4fc0f2f28fedb2a8db</t>
        </is>
      </c>
      <c r="K350">
        <f>HYPERLINK("http://gitlab.osmosys.co/incident-reporter/incident-reporter-app/-/merge_requests/1785#note_237960", "ok")</f>
        <v/>
      </c>
      <c r="L350" t="inlineStr">
        <is>
          <t>2025-07-16 22:36:39.672 IST</t>
        </is>
      </c>
      <c r="M350" t="inlineStr">
        <is>
          <t>Shreya Ved</t>
        </is>
      </c>
      <c r="N350" t="inlineStr">
        <is>
          <t>No</t>
        </is>
      </c>
      <c r="O350" t="inlineStr">
        <is>
          <t>Yes</t>
        </is>
      </c>
      <c r="P350" t="inlineStr">
        <is>
          <t>Soundariya B</t>
        </is>
      </c>
      <c r="Q350" t="inlineStr">
        <is>
          <t>Bad</t>
        </is>
      </c>
    </row>
    <row r="351">
      <c r="A351" t="inlineStr">
        <is>
          <t>shreya.v</t>
        </is>
      </c>
      <c r="B351" t="inlineStr">
        <is>
          <t>Shreya Ved</t>
        </is>
      </c>
      <c r="C351" t="inlineStr">
        <is>
          <t>shreya.v@osmosys.co</t>
        </is>
      </c>
      <c r="D351" t="inlineStr">
        <is>
          <t>incident-reporter</t>
        </is>
      </c>
      <c r="E351">
        <f>HYPERLINK("http://gitlab.osmosys.co/incident-reporter/incident-reporter-app", "OQSHA Mobile App")</f>
        <v/>
      </c>
      <c r="F351">
        <f>HYPERLINK("http://gitlab.osmosys.co/incident-reporter/incident-reporter-app/-/merge_requests/1785", "fix: optimize dropdown filter on app")</f>
        <v/>
      </c>
      <c r="G351" t="inlineStr">
        <is>
          <t>fix/dropdown-filter-app</t>
        </is>
      </c>
      <c r="H351" t="inlineStr">
        <is>
          <t>sprint-17</t>
        </is>
      </c>
      <c r="I351" t="inlineStr">
        <is>
          <t>merged</t>
        </is>
      </c>
      <c r="J351" t="inlineStr">
        <is>
          <t>819a92a392858a4520392581eebb23e633852a3e</t>
        </is>
      </c>
      <c r="K351">
        <f>HYPERLINK("http://gitlab.osmosys.co/incident-reporter/incident-reporter-app/-/merge_requests/1785#note_237677", "Same here as above comments mentioned")</f>
        <v/>
      </c>
      <c r="L351" t="inlineStr">
        <is>
          <t>2025-07-16 16:35:43.026 IST</t>
        </is>
      </c>
      <c r="M351" t="inlineStr">
        <is>
          <t>Soundariya B</t>
        </is>
      </c>
      <c r="N351" t="inlineStr">
        <is>
          <t>Yes</t>
        </is>
      </c>
      <c r="O351" t="inlineStr">
        <is>
          <t>Yes</t>
        </is>
      </c>
      <c r="P351" t="inlineStr">
        <is>
          <t>Soundariya B</t>
        </is>
      </c>
      <c r="Q351" t="inlineStr">
        <is>
          <t>Bad</t>
        </is>
      </c>
    </row>
    <row r="352">
      <c r="A352" t="inlineStr">
        <is>
          <t>shreya.v</t>
        </is>
      </c>
      <c r="B352" t="inlineStr">
        <is>
          <t>Shreya Ved</t>
        </is>
      </c>
      <c r="C352" t="inlineStr">
        <is>
          <t>shreya.v@osmosys.co</t>
        </is>
      </c>
      <c r="D352" t="inlineStr">
        <is>
          <t>incident-reporter</t>
        </is>
      </c>
      <c r="E352">
        <f>HYPERLINK("http://gitlab.osmosys.co/incident-reporter/incident-reporter-app", "OQSHA Mobile App")</f>
        <v/>
      </c>
      <c r="F352">
        <f>HYPERLINK("http://gitlab.osmosys.co/incident-reporter/incident-reporter-app/-/merge_requests/1785", "fix: optimize dropdown filter on app")</f>
        <v/>
      </c>
      <c r="G352" t="inlineStr">
        <is>
          <t>fix/dropdown-filter-app</t>
        </is>
      </c>
      <c r="H352" t="inlineStr">
        <is>
          <t>sprint-17</t>
        </is>
      </c>
      <c r="I352" t="inlineStr">
        <is>
          <t>merged</t>
        </is>
      </c>
      <c r="J352" t="inlineStr">
        <is>
          <t>819a92a392858a4520392581eebb23e633852a3e</t>
        </is>
      </c>
      <c r="K352">
        <f>HYPERLINK("http://gitlab.osmosys.co/incident-reporter/incident-reporter-app/-/merge_requests/1785#note_237841", "This is not payload , I am already doing here what you mentioned above.")</f>
        <v/>
      </c>
      <c r="L352" t="inlineStr">
        <is>
          <t>2025-07-16 18:24:41.771 IST</t>
        </is>
      </c>
      <c r="M352" t="inlineStr">
        <is>
          <t>Shreya Ved</t>
        </is>
      </c>
      <c r="N352" t="inlineStr">
        <is>
          <t>No</t>
        </is>
      </c>
      <c r="O352" t="inlineStr">
        <is>
          <t>Yes</t>
        </is>
      </c>
      <c r="P352" t="inlineStr">
        <is>
          <t>Soundariya B</t>
        </is>
      </c>
      <c r="Q352" t="inlineStr">
        <is>
          <t>Bad</t>
        </is>
      </c>
    </row>
    <row r="353">
      <c r="A353" t="inlineStr">
        <is>
          <t>shreya.v</t>
        </is>
      </c>
      <c r="B353" t="inlineStr">
        <is>
          <t>Shreya Ved</t>
        </is>
      </c>
      <c r="C353" t="inlineStr">
        <is>
          <t>shreya.v@osmosys.co</t>
        </is>
      </c>
      <c r="D353" t="inlineStr">
        <is>
          <t>incident-reporter</t>
        </is>
      </c>
      <c r="E353">
        <f>HYPERLINK("http://gitlab.osmosys.co/incident-reporter/incident-reporter-app", "OQSHA Mobile App")</f>
        <v/>
      </c>
      <c r="F353">
        <f>HYPERLINK("http://gitlab.osmosys.co/incident-reporter/incident-reporter-app/-/merge_requests/1785", "fix: optimize dropdown filter on app")</f>
        <v/>
      </c>
      <c r="G353" t="inlineStr">
        <is>
          <t>fix/dropdown-filter-app</t>
        </is>
      </c>
      <c r="H353" t="inlineStr">
        <is>
          <t>sprint-17</t>
        </is>
      </c>
      <c r="I353" t="inlineStr">
        <is>
          <t>merged</t>
        </is>
      </c>
      <c r="J353" t="inlineStr">
        <is>
          <t>819a92a392858a4520392581eebb23e633852a3e</t>
        </is>
      </c>
      <c r="K353">
        <f>HYPERLINK("http://gitlab.osmosys.co/incident-reporter/incident-reporter-app/-/merge_requests/1785#note_237905", "I can't see any changes")</f>
        <v/>
      </c>
      <c r="L353" t="inlineStr">
        <is>
          <t>2025-07-16 20:16:30.956 IST</t>
        </is>
      </c>
      <c r="M353" t="inlineStr">
        <is>
          <t>Soundariya B</t>
        </is>
      </c>
      <c r="N353" t="inlineStr">
        <is>
          <t>Yes</t>
        </is>
      </c>
      <c r="O353" t="inlineStr">
        <is>
          <t>Yes</t>
        </is>
      </c>
      <c r="P353" t="inlineStr">
        <is>
          <t>Soundariya B</t>
        </is>
      </c>
      <c r="Q353" t="inlineStr">
        <is>
          <t>Bad</t>
        </is>
      </c>
    </row>
    <row r="354">
      <c r="A354" t="inlineStr">
        <is>
          <t>shreya.v</t>
        </is>
      </c>
      <c r="B354" t="inlineStr">
        <is>
          <t>Shreya Ved</t>
        </is>
      </c>
      <c r="C354" t="inlineStr">
        <is>
          <t>shreya.v@osmosys.co</t>
        </is>
      </c>
      <c r="D354" t="inlineStr">
        <is>
          <t>incident-reporter</t>
        </is>
      </c>
      <c r="E354">
        <f>HYPERLINK("http://gitlab.osmosys.co/incident-reporter/incident-reporter-app", "OQSHA Mobile App")</f>
        <v/>
      </c>
      <c r="F354">
        <f>HYPERLINK("http://gitlab.osmosys.co/incident-reporter/incident-reporter-app/-/merge_requests/1785", "fix: optimize dropdown filter on app")</f>
        <v/>
      </c>
      <c r="G354" t="inlineStr">
        <is>
          <t>fix/dropdown-filter-app</t>
        </is>
      </c>
      <c r="H354" t="inlineStr">
        <is>
          <t>sprint-17</t>
        </is>
      </c>
      <c r="I354" t="inlineStr">
        <is>
          <t>merged</t>
        </is>
      </c>
      <c r="J354" t="inlineStr">
        <is>
          <t>819a92a392858a4520392581eebb23e633852a3e</t>
        </is>
      </c>
      <c r="K354">
        <f>HYPERLINK("http://gitlab.osmosys.co/incident-reporter/incident-reporter-app/-/merge_requests/1785#note_237963", "ok")</f>
        <v/>
      </c>
      <c r="L354" t="inlineStr">
        <is>
          <t>2025-07-16 22:52:12.971 IST</t>
        </is>
      </c>
      <c r="M354" t="inlineStr">
        <is>
          <t>Shreya Ved</t>
        </is>
      </c>
      <c r="N354" t="inlineStr">
        <is>
          <t>No</t>
        </is>
      </c>
      <c r="O354" t="inlineStr">
        <is>
          <t>Yes</t>
        </is>
      </c>
      <c r="P354" t="inlineStr">
        <is>
          <t>Soundariya B</t>
        </is>
      </c>
      <c r="Q354" t="inlineStr">
        <is>
          <t>Bad</t>
        </is>
      </c>
    </row>
    <row r="355">
      <c r="A355" t="inlineStr">
        <is>
          <t>shreya.v</t>
        </is>
      </c>
      <c r="B355" t="inlineStr">
        <is>
          <t>Shreya Ved</t>
        </is>
      </c>
      <c r="C355" t="inlineStr">
        <is>
          <t>shreya.v@osmosys.co</t>
        </is>
      </c>
      <c r="D355" t="inlineStr">
        <is>
          <t>incident-reporter</t>
        </is>
      </c>
      <c r="E355">
        <f>HYPERLINK("http://gitlab.osmosys.co/incident-reporter/incident-reporter-app", "OQSHA Mobile App")</f>
        <v/>
      </c>
      <c r="F355">
        <f>HYPERLINK("http://gitlab.osmosys.co/incident-reporter/incident-reporter-app/-/merge_requests/1749", "feat: add search option for add ptw company dropdown")</f>
        <v/>
      </c>
      <c r="G355" t="inlineStr">
        <is>
          <t>feat/add-ptw-search-company</t>
        </is>
      </c>
      <c r="H355" t="inlineStr">
        <is>
          <t>sprint-17</t>
        </is>
      </c>
      <c r="I355" t="inlineStr">
        <is>
          <t>closed</t>
        </is>
      </c>
      <c r="J355" t="inlineStr"/>
      <c r="K355" t="inlineStr"/>
      <c r="L355" t="inlineStr"/>
      <c r="M355" t="inlineStr"/>
      <c r="N355" t="inlineStr"/>
      <c r="O355" t="inlineStr"/>
      <c r="P355" t="inlineStr"/>
      <c r="Q355" t="inlineStr"/>
    </row>
    <row r="356">
      <c r="A356" t="inlineStr">
        <is>
          <t>shreya.v</t>
        </is>
      </c>
      <c r="B356" t="inlineStr">
        <is>
          <t>Shreya Ved</t>
        </is>
      </c>
      <c r="C356" t="inlineStr">
        <is>
          <t>shreya.v@osmosys.co</t>
        </is>
      </c>
      <c r="D356" t="inlineStr">
        <is>
          <t>incident-reporter</t>
        </is>
      </c>
      <c r="E356">
        <f>HYPERLINK("http://gitlab.osmosys.co/incident-reporter/incident-reporter-app", "OQSHA Mobile App")</f>
        <v/>
      </c>
      <c r="F356">
        <f>HYPERLINK("http://gitlab.osmosys.co/incident-reporter/incident-reporter-app/-/merge_requests/1744", "feat: optimize newly added dropdown of app")</f>
        <v/>
      </c>
      <c r="G356" t="inlineStr">
        <is>
          <t>feat/dropdown-app</t>
        </is>
      </c>
      <c r="H356" t="inlineStr">
        <is>
          <t>sprint-17</t>
        </is>
      </c>
      <c r="I356" t="inlineStr">
        <is>
          <t>merged</t>
        </is>
      </c>
      <c r="J356" t="inlineStr">
        <is>
          <t>8eca0c362b35c532c3670012a4a6cdd9e1d5d45d</t>
        </is>
      </c>
      <c r="K356">
        <f>HYPERLINK("http://gitlab.osmosys.co/incident-reporter/incident-reporter-app/-/merge_requests/1744#note_233276", "Old test case attached")</f>
        <v/>
      </c>
      <c r="L356" t="inlineStr">
        <is>
          <t>2025-07-08 19:27:40.428 IST</t>
        </is>
      </c>
      <c r="M356" t="inlineStr">
        <is>
          <t>Soundariya B</t>
        </is>
      </c>
      <c r="N356" t="inlineStr">
        <is>
          <t>Yes</t>
        </is>
      </c>
      <c r="O356" t="inlineStr">
        <is>
          <t>Yes</t>
        </is>
      </c>
      <c r="P356" t="inlineStr">
        <is>
          <t>Soundariya B</t>
        </is>
      </c>
      <c r="Q356" t="inlineStr">
        <is>
          <t>Bad</t>
        </is>
      </c>
    </row>
    <row r="357">
      <c r="A357" t="inlineStr">
        <is>
          <t>shreya.v</t>
        </is>
      </c>
      <c r="B357" t="inlineStr">
        <is>
          <t>Shreya Ved</t>
        </is>
      </c>
      <c r="C357" t="inlineStr">
        <is>
          <t>shreya.v@osmosys.co</t>
        </is>
      </c>
      <c r="D357" t="inlineStr">
        <is>
          <t>incident-reporter</t>
        </is>
      </c>
      <c r="E357">
        <f>HYPERLINK("http://gitlab.osmosys.co/incident-reporter/incident-reporter-app", "OQSHA Mobile App")</f>
        <v/>
      </c>
      <c r="F357">
        <f>HYPERLINK("http://gitlab.osmosys.co/incident-reporter/incident-reporter-app/-/merge_requests/1744", "feat: optimize newly added dropdown of app")</f>
        <v/>
      </c>
      <c r="G357" t="inlineStr">
        <is>
          <t>feat/dropdown-app</t>
        </is>
      </c>
      <c r="H357" t="inlineStr">
        <is>
          <t>sprint-17</t>
        </is>
      </c>
      <c r="I357" t="inlineStr">
        <is>
          <t>merged</t>
        </is>
      </c>
      <c r="J357" t="inlineStr">
        <is>
          <t>8eca0c362b35c532c3670012a4a6cdd9e1d5d45d</t>
        </is>
      </c>
      <c r="K357">
        <f>HYPERLINK("http://gitlab.osmosys.co/incident-reporter/incident-reporter-app/-/merge_requests/1744#note_233309", "I am doing the same thing. This is the only test case.")</f>
        <v/>
      </c>
      <c r="L357" t="inlineStr">
        <is>
          <t>2025-07-08 20:14:31.212 IST</t>
        </is>
      </c>
      <c r="M357" t="inlineStr">
        <is>
          <t>Shreya Ved</t>
        </is>
      </c>
      <c r="N357" t="inlineStr">
        <is>
          <t>No</t>
        </is>
      </c>
      <c r="O357" t="inlineStr">
        <is>
          <t>Yes</t>
        </is>
      </c>
      <c r="P357" t="inlineStr">
        <is>
          <t>Soundariya B</t>
        </is>
      </c>
      <c r="Q357" t="inlineStr">
        <is>
          <t>Bad</t>
        </is>
      </c>
    </row>
    <row r="358">
      <c r="A358" t="inlineStr">
        <is>
          <t>shreya.v</t>
        </is>
      </c>
      <c r="B358" t="inlineStr">
        <is>
          <t>Shreya Ved</t>
        </is>
      </c>
      <c r="C358" t="inlineStr">
        <is>
          <t>shreya.v@osmosys.co</t>
        </is>
      </c>
      <c r="D358" t="inlineStr">
        <is>
          <t>incident-reporter</t>
        </is>
      </c>
      <c r="E358">
        <f>HYPERLINK("http://gitlab.osmosys.co/incident-reporter/incident-reporter-app", "OQSHA Mobile App")</f>
        <v/>
      </c>
      <c r="F358">
        <f>HYPERLINK("http://gitlab.osmosys.co/incident-reporter/incident-reporter-app/-/merge_requests/1744", "feat: optimize newly added dropdown of app")</f>
        <v/>
      </c>
      <c r="G358" t="inlineStr">
        <is>
          <t>feat/dropdown-app</t>
        </is>
      </c>
      <c r="H358" t="inlineStr">
        <is>
          <t>sprint-17</t>
        </is>
      </c>
      <c r="I358" t="inlineStr">
        <is>
          <t>merged</t>
        </is>
      </c>
      <c r="J358" t="inlineStr">
        <is>
          <t>8eca0c362b35c532c3670012a4a6cdd9e1d5d45d</t>
        </is>
      </c>
      <c r="K358">
        <f>HYPERLINK("http://gitlab.osmosys.co/incident-reporter/incident-reporter-app/-/merge_requests/1744#note_233346", "![image](/uploads/222c6ed6958c0b82f8261ef04972044e/image.png)
First check the sheet then please mention your comments, as per test case the attached SS payloads are not matching")</f>
        <v/>
      </c>
      <c r="L358" t="inlineStr">
        <is>
          <t>2025-07-09 02:01:22.517 IST</t>
        </is>
      </c>
      <c r="M358" t="inlineStr">
        <is>
          <t>Soundariya B</t>
        </is>
      </c>
      <c r="N358" t="inlineStr">
        <is>
          <t>Yes</t>
        </is>
      </c>
      <c r="O358" t="inlineStr">
        <is>
          <t>Yes</t>
        </is>
      </c>
      <c r="P358" t="inlineStr">
        <is>
          <t>Soundariya B</t>
        </is>
      </c>
      <c r="Q358" t="inlineStr">
        <is>
          <t>Bad</t>
        </is>
      </c>
    </row>
    <row r="359">
      <c r="A359" t="inlineStr">
        <is>
          <t>shreya.v</t>
        </is>
      </c>
      <c r="B359" t="inlineStr">
        <is>
          <t>Shreya Ved</t>
        </is>
      </c>
      <c r="C359" t="inlineStr">
        <is>
          <t>shreya.v@osmosys.co</t>
        </is>
      </c>
      <c r="D359" t="inlineStr">
        <is>
          <t>incident-reporter</t>
        </is>
      </c>
      <c r="E359">
        <f>HYPERLINK("http://gitlab.osmosys.co/incident-reporter/incident-reporter-app", "OQSHA Mobile App")</f>
        <v/>
      </c>
      <c r="F359">
        <f>HYPERLINK("http://gitlab.osmosys.co/incident-reporter/incident-reporter-app/-/merge_requests/1744", "feat: optimize newly added dropdown of app")</f>
        <v/>
      </c>
      <c r="G359" t="inlineStr">
        <is>
          <t>feat/dropdown-app</t>
        </is>
      </c>
      <c r="H359" t="inlineStr">
        <is>
          <t>sprint-17</t>
        </is>
      </c>
      <c r="I359" t="inlineStr">
        <is>
          <t>merged</t>
        </is>
      </c>
      <c r="J359" t="inlineStr">
        <is>
          <t>8eca0c362b35c532c3670012a4a6cdd9e1d5d45d</t>
        </is>
      </c>
      <c r="K359">
        <f>HYPERLINK("http://gitlab.osmosys.co/incident-reporter/incident-reporter-app/-/merge_requests/1744#note_233354", "Empty \[ \] in query params means nothing should go in payload, it is already understandable. Moreover these sheets are not accessible by QAs. Updated.")</f>
        <v/>
      </c>
      <c r="L359" t="inlineStr">
        <is>
          <t>2025-07-09 09:26:50.526 IST</t>
        </is>
      </c>
      <c r="M359" t="inlineStr">
        <is>
          <t>Shreya Ved</t>
        </is>
      </c>
      <c r="N359" t="inlineStr">
        <is>
          <t>No</t>
        </is>
      </c>
      <c r="O359" t="inlineStr">
        <is>
          <t>Yes</t>
        </is>
      </c>
      <c r="P359" t="inlineStr">
        <is>
          <t>Soundariya B</t>
        </is>
      </c>
      <c r="Q359" t="inlineStr">
        <is>
          <t>Bad</t>
        </is>
      </c>
    </row>
    <row r="360">
      <c r="A360" t="inlineStr">
        <is>
          <t>shreya.v</t>
        </is>
      </c>
      <c r="B360" t="inlineStr">
        <is>
          <t>Shreya Ved</t>
        </is>
      </c>
      <c r="C360" t="inlineStr">
        <is>
          <t>shreya.v@osmosys.co</t>
        </is>
      </c>
      <c r="D360" t="inlineStr">
        <is>
          <t>incident-reporter</t>
        </is>
      </c>
      <c r="E360">
        <f>HYPERLINK("http://gitlab.osmosys.co/incident-reporter/incident-reporter-app", "OQSHA Mobile App")</f>
        <v/>
      </c>
      <c r="F360">
        <f>HYPERLINK("http://gitlab.osmosys.co/incident-reporter/incident-reporter-app/-/merge_requests/1744", "feat: optimize newly added dropdown of app")</f>
        <v/>
      </c>
      <c r="G360" t="inlineStr">
        <is>
          <t>feat/dropdown-app</t>
        </is>
      </c>
      <c r="H360" t="inlineStr">
        <is>
          <t>sprint-17</t>
        </is>
      </c>
      <c r="I360" t="inlineStr">
        <is>
          <t>merged</t>
        </is>
      </c>
      <c r="J360" t="inlineStr">
        <is>
          <t>8eca0c362b35c532c3670012a4a6cdd9e1d5d45d</t>
        </is>
      </c>
      <c r="K360">
        <f>HYPERLINK("http://gitlab.osmosys.co/incident-reporter/incident-reporter-app/-/merge_requests/1744#note_233844", "I remembered earlier you are passing empty array for select all and unselect all but now as per changes you are not passing anything in this case so that test case sheet has to be updated, anyway its updated and fine now.")</f>
        <v/>
      </c>
      <c r="L360" t="inlineStr">
        <is>
          <t>2025-07-09 21:43:30.783 IST</t>
        </is>
      </c>
      <c r="M360" t="inlineStr">
        <is>
          <t>Soundariya B</t>
        </is>
      </c>
      <c r="N360" t="inlineStr">
        <is>
          <t>Yes</t>
        </is>
      </c>
      <c r="O360" t="inlineStr">
        <is>
          <t>Yes</t>
        </is>
      </c>
      <c r="P360" t="inlineStr">
        <is>
          <t>Soundariya B</t>
        </is>
      </c>
      <c r="Q360" t="inlineStr">
        <is>
          <t>Bad</t>
        </is>
      </c>
    </row>
    <row r="361">
      <c r="A361" t="inlineStr">
        <is>
          <t>shreya.v</t>
        </is>
      </c>
      <c r="B361" t="inlineStr">
        <is>
          <t>Shreya Ved</t>
        </is>
      </c>
      <c r="C361" t="inlineStr">
        <is>
          <t>shreya.v@osmosys.co</t>
        </is>
      </c>
      <c r="D361" t="inlineStr">
        <is>
          <t>incident-reporter</t>
        </is>
      </c>
      <c r="E361">
        <f>HYPERLINK("http://gitlab.osmosys.co/incident-reporter/incident-reporter-app", "OQSHA Mobile App")</f>
        <v/>
      </c>
      <c r="F361">
        <f>HYPERLINK("http://gitlab.osmosys.co/incident-reporter/incident-reporter-app/-/merge_requests/1744", "feat: optimize newly added dropdown of app")</f>
        <v/>
      </c>
      <c r="G361" t="inlineStr">
        <is>
          <t>feat/dropdown-app</t>
        </is>
      </c>
      <c r="H361" t="inlineStr">
        <is>
          <t>sprint-17</t>
        </is>
      </c>
      <c r="I361" t="inlineStr">
        <is>
          <t>merged</t>
        </is>
      </c>
      <c r="J361" t="inlineStr">
        <is>
          <t>8fa4809eb0268f3571f698e9b128e7533d2b985f</t>
        </is>
      </c>
      <c r="K361">
        <f>HYPERLINK("http://gitlab.osmosys.co/incident-reporter/incident-reporter-app/-/merge_requests/1744#note_233277", "Seems these line of code are using more than 1 time and repeating so please improve it")</f>
        <v/>
      </c>
      <c r="L361" t="inlineStr">
        <is>
          <t>2025-07-08 19:27:40.509 IST</t>
        </is>
      </c>
      <c r="M361" t="inlineStr">
        <is>
          <t>Soundariya B</t>
        </is>
      </c>
      <c r="N361" t="inlineStr">
        <is>
          <t>Yes</t>
        </is>
      </c>
      <c r="O361" t="inlineStr">
        <is>
          <t>Yes</t>
        </is>
      </c>
      <c r="P361" t="inlineStr">
        <is>
          <t>Soundariya B</t>
        </is>
      </c>
      <c r="Q361" t="inlineStr">
        <is>
          <t>Bad</t>
        </is>
      </c>
    </row>
    <row r="362">
      <c r="A362" t="inlineStr">
        <is>
          <t>shreya.v</t>
        </is>
      </c>
      <c r="B362" t="inlineStr">
        <is>
          <t>Shreya Ved</t>
        </is>
      </c>
      <c r="C362" t="inlineStr">
        <is>
          <t>shreya.v@osmosys.co</t>
        </is>
      </c>
      <c r="D362" t="inlineStr">
        <is>
          <t>incident-reporter</t>
        </is>
      </c>
      <c r="E362">
        <f>HYPERLINK("http://gitlab.osmosys.co/incident-reporter/incident-reporter-app", "OQSHA Mobile App")</f>
        <v/>
      </c>
      <c r="F362">
        <f>HYPERLINK("http://gitlab.osmosys.co/incident-reporter/incident-reporter-app/-/merge_requests/1744", "feat: optimize newly added dropdown of app")</f>
        <v/>
      </c>
      <c r="G362" t="inlineStr">
        <is>
          <t>feat/dropdown-app</t>
        </is>
      </c>
      <c r="H362" t="inlineStr">
        <is>
          <t>sprint-17</t>
        </is>
      </c>
      <c r="I362" t="inlineStr">
        <is>
          <t>merged</t>
        </is>
      </c>
      <c r="J362" t="inlineStr">
        <is>
          <t>8fa4809eb0268f3571f698e9b128e7533d2b985f</t>
        </is>
      </c>
      <c r="K362">
        <f>HYPERLINK("http://gitlab.osmosys.co/incident-reporter/incident-reporter-app/-/merge_requests/1744#note_233316", "There is no shared service in app. And moc and inspection are 2 different module. So need to add them separately.")</f>
        <v/>
      </c>
      <c r="L362" t="inlineStr">
        <is>
          <t>2025-07-08 20:29:33.615 IST</t>
        </is>
      </c>
      <c r="M362" t="inlineStr">
        <is>
          <t>Shreya Ved</t>
        </is>
      </c>
      <c r="N362" t="inlineStr">
        <is>
          <t>No</t>
        </is>
      </c>
      <c r="O362" t="inlineStr">
        <is>
          <t>Yes</t>
        </is>
      </c>
      <c r="P362" t="inlineStr">
        <is>
          <t>Soundariya B</t>
        </is>
      </c>
      <c r="Q362" t="inlineStr">
        <is>
          <t>Bad</t>
        </is>
      </c>
    </row>
    <row r="363">
      <c r="A363" t="inlineStr">
        <is>
          <t>shreya.v</t>
        </is>
      </c>
      <c r="B363" t="inlineStr">
        <is>
          <t>Shreya Ved</t>
        </is>
      </c>
      <c r="C363" t="inlineStr">
        <is>
          <t>shreya.v@osmosys.co</t>
        </is>
      </c>
      <c r="D363" t="inlineStr">
        <is>
          <t>incident-reporter</t>
        </is>
      </c>
      <c r="E363">
        <f>HYPERLINK("http://gitlab.osmosys.co/incident-reporter/incident-reporter-app", "OQSHA Mobile App")</f>
        <v/>
      </c>
      <c r="F363">
        <f>HYPERLINK("http://gitlab.osmosys.co/incident-reporter/incident-reporter-app/-/merge_requests/1744", "feat: optimize newly added dropdown of app")</f>
        <v/>
      </c>
      <c r="G363" t="inlineStr">
        <is>
          <t>feat/dropdown-app</t>
        </is>
      </c>
      <c r="H363" t="inlineStr">
        <is>
          <t>sprint-17</t>
        </is>
      </c>
      <c r="I363" t="inlineStr">
        <is>
          <t>merged</t>
        </is>
      </c>
      <c r="J363" t="inlineStr">
        <is>
          <t>8fa4809eb0268f3571f698e9b128e7533d2b985f</t>
        </is>
      </c>
      <c r="K363">
        <f>HYPERLINK("http://gitlab.osmosys.co/incident-reporter/incident-reporter-app/-/merge_requests/1744#note_233347", "![image](/uploads/9db675c60e3081cf2eb9bb887a002ee0/image.png)
Then what is this?")</f>
        <v/>
      </c>
      <c r="L363" t="inlineStr">
        <is>
          <t>2025-07-09 02:04:57.190 IST</t>
        </is>
      </c>
      <c r="M363" t="inlineStr">
        <is>
          <t>Soundariya B</t>
        </is>
      </c>
      <c r="N363" t="inlineStr">
        <is>
          <t>Yes</t>
        </is>
      </c>
      <c r="O363" t="inlineStr">
        <is>
          <t>Yes</t>
        </is>
      </c>
      <c r="P363" t="inlineStr">
        <is>
          <t>Soundariya B</t>
        </is>
      </c>
      <c r="Q363" t="inlineStr">
        <is>
          <t>Bad</t>
        </is>
      </c>
    </row>
    <row r="364">
      <c r="A364" t="inlineStr">
        <is>
          <t>shreya.v</t>
        </is>
      </c>
      <c r="B364" t="inlineStr">
        <is>
          <t>Shreya Ved</t>
        </is>
      </c>
      <c r="C364" t="inlineStr">
        <is>
          <t>shreya.v@osmosys.co</t>
        </is>
      </c>
      <c r="D364" t="inlineStr">
        <is>
          <t>incident-reporter</t>
        </is>
      </c>
      <c r="E364">
        <f>HYPERLINK("http://gitlab.osmosys.co/incident-reporter/incident-reporter-app", "OQSHA Mobile App")</f>
        <v/>
      </c>
      <c r="F364">
        <f>HYPERLINK("http://gitlab.osmosys.co/incident-reporter/incident-reporter-app/-/merge_requests/1744", "feat: optimize newly added dropdown of app")</f>
        <v/>
      </c>
      <c r="G364" t="inlineStr">
        <is>
          <t>feat/dropdown-app</t>
        </is>
      </c>
      <c r="H364" t="inlineStr">
        <is>
          <t>sprint-17</t>
        </is>
      </c>
      <c r="I364" t="inlineStr">
        <is>
          <t>merged</t>
        </is>
      </c>
      <c r="J364" t="inlineStr">
        <is>
          <t>8fa4809eb0268f3571f698e9b128e7533d2b985f</t>
        </is>
      </c>
      <c r="K364">
        <f>HYPERLINK("http://gitlab.osmosys.co/incident-reporter/incident-reporter-app/-/merge_requests/1744#note_233355", "It is newly added. Ok added function here.")</f>
        <v/>
      </c>
      <c r="L364" t="inlineStr">
        <is>
          <t>2025-07-09 09:35:13.731 IST</t>
        </is>
      </c>
      <c r="M364" t="inlineStr">
        <is>
          <t>Shreya Ved</t>
        </is>
      </c>
      <c r="N364" t="inlineStr">
        <is>
          <t>No</t>
        </is>
      </c>
      <c r="O364" t="inlineStr">
        <is>
          <t>Yes</t>
        </is>
      </c>
      <c r="P364" t="inlineStr">
        <is>
          <t>Soundariya B</t>
        </is>
      </c>
      <c r="Q364" t="inlineStr">
        <is>
          <t>Bad</t>
        </is>
      </c>
    </row>
    <row r="365">
      <c r="A365" t="inlineStr">
        <is>
          <t>shreya.v</t>
        </is>
      </c>
      <c r="B365" t="inlineStr">
        <is>
          <t>Shreya Ved</t>
        </is>
      </c>
      <c r="C365" t="inlineStr">
        <is>
          <t>shreya.v@osmosys.co</t>
        </is>
      </c>
      <c r="D365" t="inlineStr">
        <is>
          <t>incident-reporter</t>
        </is>
      </c>
      <c r="E365">
        <f>HYPERLINK("http://gitlab.osmosys.co/incident-reporter/incident-reporter-app", "OQSHA Mobile App")</f>
        <v/>
      </c>
      <c r="F365">
        <f>HYPERLINK("http://gitlab.osmosys.co/incident-reporter/incident-reporter-app/-/merge_requests/1731", "fix: optimize library dropdowns")</f>
        <v/>
      </c>
      <c r="G365" t="inlineStr">
        <is>
          <t>fix/task-ptw-library-dropdown-app</t>
        </is>
      </c>
      <c r="H365" t="inlineStr">
        <is>
          <t>sprint-16</t>
        </is>
      </c>
      <c r="I365" t="inlineStr">
        <is>
          <t>merged</t>
        </is>
      </c>
      <c r="J365" t="inlineStr"/>
      <c r="K365" t="inlineStr"/>
      <c r="L365" t="inlineStr"/>
      <c r="M365" t="inlineStr"/>
      <c r="N365" t="inlineStr"/>
      <c r="O365" t="inlineStr"/>
      <c r="P365" t="inlineStr"/>
      <c r="Q365" t="inlineStr"/>
    </row>
    <row r="366">
      <c r="A366" t="inlineStr">
        <is>
          <t>aditya.c</t>
        </is>
      </c>
      <c r="B366" t="inlineStr">
        <is>
          <t>Aditya Chakraborty</t>
        </is>
      </c>
      <c r="C366" t="inlineStr">
        <is>
          <t>aditya.c@osmosys.co</t>
        </is>
      </c>
      <c r="D366" t="inlineStr">
        <is>
          <t>incident-reporter</t>
        </is>
      </c>
      <c r="E366">
        <f>HYPERLINK("http://gitlab.osmosys.co/incident-reporter/incident-reporter-angular-portal", "OQSHA Portal")</f>
        <v/>
      </c>
      <c r="F366">
        <f>HYPERLINK("http://gitlab.osmosys.co/incident-reporter/incident-reporter-angular-portal/-/merge_requests/3703", "fix: update logic of rendering multiselect option checks")</f>
        <v/>
      </c>
      <c r="G366" t="inlineStr">
        <is>
          <t>fix/audit-pssr</t>
        </is>
      </c>
      <c r="H366" t="inlineStr">
        <is>
          <t>sprint-19</t>
        </is>
      </c>
      <c r="I366" t="inlineStr">
        <is>
          <t>opened</t>
        </is>
      </c>
      <c r="J366" t="inlineStr"/>
      <c r="K366" t="inlineStr"/>
      <c r="L366" t="inlineStr"/>
      <c r="M366" t="inlineStr"/>
      <c r="N366" t="inlineStr"/>
      <c r="O366" t="inlineStr"/>
      <c r="P366" t="inlineStr"/>
      <c r="Q366" t="inlineStr"/>
    </row>
    <row r="367">
      <c r="A367" t="inlineStr">
        <is>
          <t>aditya.c</t>
        </is>
      </c>
      <c r="B367" t="inlineStr">
        <is>
          <t>Aditya Chakraborty</t>
        </is>
      </c>
      <c r="C367" t="inlineStr">
        <is>
          <t>aditya.c@osmosys.co</t>
        </is>
      </c>
      <c r="D367" t="inlineStr">
        <is>
          <t>incident-reporter</t>
        </is>
      </c>
      <c r="E367">
        <f>HYPERLINK("http://gitlab.osmosys.co/incident-reporter/incident-reporter-angular-portal", "OQSHA Portal")</f>
        <v/>
      </c>
      <c r="F367">
        <f>HYPERLINK("http://gitlab.osmosys.co/incident-reporter/incident-reporter-angular-portal/-/merge_requests/3693", "fix: add latitude and longitude while creating a ptw")</f>
        <v/>
      </c>
      <c r="G367" t="inlineStr">
        <is>
          <t>feat/add-coords</t>
        </is>
      </c>
      <c r="H367" t="inlineStr">
        <is>
          <t>sprint-19</t>
        </is>
      </c>
      <c r="I367" t="inlineStr">
        <is>
          <t>merged</t>
        </is>
      </c>
      <c r="J367" t="inlineStr"/>
      <c r="K367" t="inlineStr"/>
      <c r="L367" t="inlineStr"/>
      <c r="M367" t="inlineStr"/>
      <c r="N367" t="inlineStr"/>
      <c r="O367" t="inlineStr"/>
      <c r="P367" t="inlineStr"/>
      <c r="Q367" t="inlineStr"/>
    </row>
    <row r="368">
      <c r="A368" t="inlineStr">
        <is>
          <t>aditya.c</t>
        </is>
      </c>
      <c r="B368" t="inlineStr">
        <is>
          <t>Aditya Chakraborty</t>
        </is>
      </c>
      <c r="C368" t="inlineStr">
        <is>
          <t>aditya.c@osmosys.co</t>
        </is>
      </c>
      <c r="D368" t="inlineStr">
        <is>
          <t>incident-reporter</t>
        </is>
      </c>
      <c r="E368">
        <f>HYPERLINK("http://gitlab.osmosys.co/incident-reporter/incident-reporter-angular-portal", "OQSHA Portal")</f>
        <v/>
      </c>
      <c r="F368">
        <f>HYPERLINK("http://gitlab.osmosys.co/incident-reporter/incident-reporter-angular-portal/-/merge_requests/3688", "feat: add pending with column in moc")</f>
        <v/>
      </c>
      <c r="G368" t="inlineStr">
        <is>
          <t>feat/moc-pending-col</t>
        </is>
      </c>
      <c r="H368" t="inlineStr">
        <is>
          <t>sprint-19</t>
        </is>
      </c>
      <c r="I368" t="inlineStr">
        <is>
          <t>merged</t>
        </is>
      </c>
      <c r="J368" t="inlineStr">
        <is>
          <t>efd15c3f751d6e8b93ba83d0d5337be36431e1f2</t>
        </is>
      </c>
      <c r="K368">
        <f>HYPERLINK("http://gitlab.osmosys.co/incident-reporter/incident-reporter-angular-portal/-/merge_requests/3688#note_246169", "The colspan should be 9")</f>
        <v/>
      </c>
      <c r="L368" t="inlineStr">
        <is>
          <t>2025-08-02 13:05:08.069 IST</t>
        </is>
      </c>
      <c r="M368" t="inlineStr">
        <is>
          <t>Soundariya B</t>
        </is>
      </c>
      <c r="N368" t="inlineStr">
        <is>
          <t>Yes</t>
        </is>
      </c>
      <c r="O368" t="inlineStr">
        <is>
          <t>Yes</t>
        </is>
      </c>
      <c r="P368" t="inlineStr">
        <is>
          <t>Soundariya B</t>
        </is>
      </c>
      <c r="Q368" t="inlineStr">
        <is>
          <t>Bad</t>
        </is>
      </c>
    </row>
    <row r="369">
      <c r="A369" t="inlineStr">
        <is>
          <t>aditya.c</t>
        </is>
      </c>
      <c r="B369" t="inlineStr">
        <is>
          <t>Aditya Chakraborty</t>
        </is>
      </c>
      <c r="C369" t="inlineStr">
        <is>
          <t>aditya.c@osmosys.co</t>
        </is>
      </c>
      <c r="D369" t="inlineStr">
        <is>
          <t>incident-reporter</t>
        </is>
      </c>
      <c r="E369">
        <f>HYPERLINK("http://gitlab.osmosys.co/incident-reporter/incident-reporter-angular-portal", "OQSHA Portal")</f>
        <v/>
      </c>
      <c r="F369">
        <f>HYPERLINK("http://gitlab.osmosys.co/incident-reporter/incident-reporter-angular-portal/-/merge_requests/3688", "feat: add pending with column in moc")</f>
        <v/>
      </c>
      <c r="G369" t="inlineStr">
        <is>
          <t>feat/moc-pending-col</t>
        </is>
      </c>
      <c r="H369" t="inlineStr">
        <is>
          <t>sprint-19</t>
        </is>
      </c>
      <c r="I369" t="inlineStr">
        <is>
          <t>merged</t>
        </is>
      </c>
      <c r="J369" t="inlineStr">
        <is>
          <t>d92c7474f9ddb6690c0a5f920b8cf80629a4948e</t>
        </is>
      </c>
      <c r="K369">
        <f>HYPERLINK("http://gitlab.osmosys.co/incident-reporter/incident-reporter-angular-portal/-/merge_requests/3688#note_246170", "You need to add the new column in colvis also")</f>
        <v/>
      </c>
      <c r="L369" t="inlineStr">
        <is>
          <t>2025-08-02 13:05:08.176 IST</t>
        </is>
      </c>
      <c r="M369" t="inlineStr">
        <is>
          <t>Soundariya B</t>
        </is>
      </c>
      <c r="N369" t="inlineStr">
        <is>
          <t>Yes</t>
        </is>
      </c>
      <c r="O369" t="inlineStr">
        <is>
          <t>Yes</t>
        </is>
      </c>
      <c r="P369" t="inlineStr">
        <is>
          <t>Soundariya B</t>
        </is>
      </c>
      <c r="Q369" t="inlineStr">
        <is>
          <t>Bad</t>
        </is>
      </c>
    </row>
    <row r="370">
      <c r="A370" t="inlineStr">
        <is>
          <t>aditya.c</t>
        </is>
      </c>
      <c r="B370" t="inlineStr">
        <is>
          <t>Aditya Chakraborty</t>
        </is>
      </c>
      <c r="C370" t="inlineStr">
        <is>
          <t>aditya.c@osmosys.co</t>
        </is>
      </c>
      <c r="D370" t="inlineStr">
        <is>
          <t>incident-reporter</t>
        </is>
      </c>
      <c r="E370">
        <f>HYPERLINK("http://gitlab.osmosys.co/incident-reporter/incident-reporter-angular-portal", "OQSHA Portal")</f>
        <v/>
      </c>
      <c r="F370">
        <f>HYPERLINK("http://gitlab.osmosys.co/incident-reporter/incident-reporter-angular-portal/-/merge_requests/3688", "feat: add pending with column in moc")</f>
        <v/>
      </c>
      <c r="G370" t="inlineStr">
        <is>
          <t>feat/moc-pending-col</t>
        </is>
      </c>
      <c r="H370" t="inlineStr">
        <is>
          <t>sprint-19</t>
        </is>
      </c>
      <c r="I370" t="inlineStr">
        <is>
          <t>merged</t>
        </is>
      </c>
      <c r="J370" t="inlineStr">
        <is>
          <t>2f8bcd89b810993e9e465935afb1d712d55ea8fd</t>
        </is>
      </c>
      <c r="K370">
        <f>HYPERLINK("http://gitlab.osmosys.co/incident-reporter/incident-reporter-angular-portal/-/merge_requests/3688#note_246171", "Did you add 'Pending with' column as visibleColumn for exporting?
Attach the exported csv or excel file where ensure that new column is passed for Export API also and getting it.")</f>
        <v/>
      </c>
      <c r="L370" t="inlineStr">
        <is>
          <t>2025-08-02 13:05:08.245 IST</t>
        </is>
      </c>
      <c r="M370" t="inlineStr">
        <is>
          <t>Soundariya B</t>
        </is>
      </c>
      <c r="N370" t="inlineStr">
        <is>
          <t>Yes</t>
        </is>
      </c>
      <c r="O370" t="inlineStr">
        <is>
          <t>Yes</t>
        </is>
      </c>
      <c r="P370" t="inlineStr">
        <is>
          <t>Soundariya B</t>
        </is>
      </c>
      <c r="Q370" t="inlineStr">
        <is>
          <t>Bad</t>
        </is>
      </c>
    </row>
    <row r="371">
      <c r="A371" t="inlineStr">
        <is>
          <t>aditya.c</t>
        </is>
      </c>
      <c r="B371" t="inlineStr">
        <is>
          <t>Aditya Chakraborty</t>
        </is>
      </c>
      <c r="C371" t="inlineStr">
        <is>
          <t>aditya.c@osmosys.co</t>
        </is>
      </c>
      <c r="D371" t="inlineStr">
        <is>
          <t>incident-reporter</t>
        </is>
      </c>
      <c r="E371">
        <f>HYPERLINK("http://gitlab.osmosys.co/incident-reporter/incident-reporter-angular-portal", "OQSHA Portal")</f>
        <v/>
      </c>
      <c r="F371">
        <f>HYPERLINK("http://gitlab.osmosys.co/incident-reporter/incident-reporter-angular-portal/-/merge_requests/3688", "feat: add pending with column in moc")</f>
        <v/>
      </c>
      <c r="G371" t="inlineStr">
        <is>
          <t>feat/moc-pending-col</t>
        </is>
      </c>
      <c r="H371" t="inlineStr">
        <is>
          <t>sprint-19</t>
        </is>
      </c>
      <c r="I371" t="inlineStr">
        <is>
          <t>merged</t>
        </is>
      </c>
      <c r="J371" t="inlineStr">
        <is>
          <t>2f8bcd89b810993e9e465935afb1d712d55ea8fd</t>
        </is>
      </c>
      <c r="K371">
        <f>HYPERLINK("http://gitlab.osmosys.co/incident-reporter/incident-reporter-angular-portal/-/merge_requests/3688#note_246219", "[OQSHA_MOC_2025-08-02_13-41-26-4126.xls](/uploads/b0bb43f65ef057c814d883aba9f332f2/OQSHA_MOC_2025-08-02_13-41-26-4126.xls)")</f>
        <v/>
      </c>
      <c r="L371" t="inlineStr">
        <is>
          <t>2025-08-02 13:42:35.139 IST</t>
        </is>
      </c>
      <c r="M371" t="inlineStr">
        <is>
          <t>Aditya Chakraborty</t>
        </is>
      </c>
      <c r="N371" t="inlineStr">
        <is>
          <t>No</t>
        </is>
      </c>
      <c r="O371" t="inlineStr">
        <is>
          <t>Yes</t>
        </is>
      </c>
      <c r="P371" t="inlineStr">
        <is>
          <t>Soundariya B</t>
        </is>
      </c>
      <c r="Q371" t="inlineStr">
        <is>
          <t>Bad</t>
        </is>
      </c>
    </row>
    <row r="372">
      <c r="A372" t="inlineStr">
        <is>
          <t>aditya.c</t>
        </is>
      </c>
      <c r="B372" t="inlineStr">
        <is>
          <t>Aditya Chakraborty</t>
        </is>
      </c>
      <c r="C372" t="inlineStr">
        <is>
          <t>aditya.c@osmosys.co</t>
        </is>
      </c>
      <c r="D372" t="inlineStr">
        <is>
          <t>incident-reporter</t>
        </is>
      </c>
      <c r="E372">
        <f>HYPERLINK("http://gitlab.osmosys.co/incident-reporter/incident-reporter-angular-portal", "OQSHA Portal")</f>
        <v/>
      </c>
      <c r="F372">
        <f>HYPERLINK("http://gitlab.osmosys.co/incident-reporter/incident-reporter-angular-portal/-/merge_requests/3688", "feat: add pending with column in moc")</f>
        <v/>
      </c>
      <c r="G372" t="inlineStr">
        <is>
          <t>feat/moc-pending-col</t>
        </is>
      </c>
      <c r="H372" t="inlineStr">
        <is>
          <t>sprint-19</t>
        </is>
      </c>
      <c r="I372" t="inlineStr">
        <is>
          <t>merged</t>
        </is>
      </c>
      <c r="J372" t="inlineStr">
        <is>
          <t>98d201d440b65160be9ef95efdfc6e0f68e48c3d</t>
        </is>
      </c>
      <c r="K372">
        <f>HYPERLINK("http://gitlab.osmosys.co/incident-reporter/incident-reporter-angular-portal/-/merge_requests/3688#note_246172", "Add this label to 248 &gt; eng.json file also")</f>
        <v/>
      </c>
      <c r="L372" t="inlineStr">
        <is>
          <t>2025-08-02 13:05:08.337 IST</t>
        </is>
      </c>
      <c r="M372" t="inlineStr">
        <is>
          <t>Soundariya B</t>
        </is>
      </c>
      <c r="N372" t="inlineStr">
        <is>
          <t>Yes</t>
        </is>
      </c>
      <c r="O372" t="inlineStr">
        <is>
          <t>Yes</t>
        </is>
      </c>
      <c r="P372" t="inlineStr">
        <is>
          <t>Soundariya B</t>
        </is>
      </c>
      <c r="Q372" t="inlineStr">
        <is>
          <t>Bad</t>
        </is>
      </c>
    </row>
    <row r="373">
      <c r="A373" t="inlineStr">
        <is>
          <t>aditya.c</t>
        </is>
      </c>
      <c r="B373" t="inlineStr">
        <is>
          <t>Aditya Chakraborty</t>
        </is>
      </c>
      <c r="C373" t="inlineStr">
        <is>
          <t>aditya.c@osmosys.co</t>
        </is>
      </c>
      <c r="D373" t="inlineStr">
        <is>
          <t>incident-reporter</t>
        </is>
      </c>
      <c r="E373">
        <f>HYPERLINK("http://gitlab.osmosys.co/incident-reporter/incident-reporter-angular-portal", "OQSHA Portal")</f>
        <v/>
      </c>
      <c r="F373">
        <f>HYPERLINK("http://gitlab.osmosys.co/incident-reporter/incident-reporter-angular-portal/-/merge_requests/3688", "feat: add pending with column in moc")</f>
        <v/>
      </c>
      <c r="G373" t="inlineStr">
        <is>
          <t>feat/moc-pending-col</t>
        </is>
      </c>
      <c r="H373" t="inlineStr">
        <is>
          <t>sprint-19</t>
        </is>
      </c>
      <c r="I373" t="inlineStr">
        <is>
          <t>merged</t>
        </is>
      </c>
      <c r="J373" t="inlineStr">
        <is>
          <t>98d201d440b65160be9ef95efdfc6e0f68e48c3d</t>
        </is>
      </c>
      <c r="K373">
        <f>HYPERLINK("http://gitlab.osmosys.co/incident-reporter/incident-reporter-angular-portal/-/merge_requests/3688#note_246222", "Added")</f>
        <v/>
      </c>
      <c r="L373" t="inlineStr">
        <is>
          <t>2025-08-02 13:43:24.473 IST</t>
        </is>
      </c>
      <c r="M373" t="inlineStr">
        <is>
          <t>Aditya Chakraborty</t>
        </is>
      </c>
      <c r="N373" t="inlineStr">
        <is>
          <t>No</t>
        </is>
      </c>
      <c r="O373" t="inlineStr">
        <is>
          <t>Yes</t>
        </is>
      </c>
      <c r="P373" t="inlineStr">
        <is>
          <t>Soundariya B</t>
        </is>
      </c>
      <c r="Q373" t="inlineStr">
        <is>
          <t>Bad</t>
        </is>
      </c>
    </row>
    <row r="374">
      <c r="A374" t="inlineStr">
        <is>
          <t>aditya.c</t>
        </is>
      </c>
      <c r="B374" t="inlineStr">
        <is>
          <t>Aditya Chakraborty</t>
        </is>
      </c>
      <c r="C374" t="inlineStr">
        <is>
          <t>aditya.c@osmosys.co</t>
        </is>
      </c>
      <c r="D374" t="inlineStr">
        <is>
          <t>incident-reporter</t>
        </is>
      </c>
      <c r="E374">
        <f>HYPERLINK("http://gitlab.osmosys.co/incident-reporter/incident-reporter-angular-portal", "OQSHA Portal")</f>
        <v/>
      </c>
      <c r="F374">
        <f>HYPERLINK("http://gitlab.osmosys.co/incident-reporter/incident-reporter-angular-portal/-/merge_requests/3688", "feat: add pending with column in moc")</f>
        <v/>
      </c>
      <c r="G374" t="inlineStr">
        <is>
          <t>feat/moc-pending-col</t>
        </is>
      </c>
      <c r="H374" t="inlineStr">
        <is>
          <t>sprint-19</t>
        </is>
      </c>
      <c r="I374" t="inlineStr">
        <is>
          <t>merged</t>
        </is>
      </c>
      <c r="J374" t="inlineStr">
        <is>
          <t>6026c39c5ee3603d2015cf46d2b894ed885477a5</t>
        </is>
      </c>
      <c r="K374">
        <f>HYPERLINK("http://gitlab.osmosys.co/incident-reporter/incident-reporter-angular-portal/-/merge_requests/3688#note_246177", "Update the screen recording to show the colvis function for a new column and exporting feature by shown excel sheet that column is present")</f>
        <v/>
      </c>
      <c r="L374" t="inlineStr">
        <is>
          <t>2025-08-02 13:05:55.092 IST</t>
        </is>
      </c>
      <c r="M374" t="inlineStr">
        <is>
          <t>Soundariya B</t>
        </is>
      </c>
      <c r="N374" t="inlineStr">
        <is>
          <t>Yes</t>
        </is>
      </c>
      <c r="O374" t="inlineStr">
        <is>
          <t>Yes</t>
        </is>
      </c>
      <c r="P374" t="inlineStr">
        <is>
          <t>Soundariya B</t>
        </is>
      </c>
      <c r="Q374" t="inlineStr">
        <is>
          <t>Bad</t>
        </is>
      </c>
    </row>
    <row r="375">
      <c r="A375" t="inlineStr">
        <is>
          <t>aditya.c</t>
        </is>
      </c>
      <c r="B375" t="inlineStr">
        <is>
          <t>Aditya Chakraborty</t>
        </is>
      </c>
      <c r="C375" t="inlineStr">
        <is>
          <t>aditya.c@osmosys.co</t>
        </is>
      </c>
      <c r="D375" t="inlineStr">
        <is>
          <t>incident-reporter</t>
        </is>
      </c>
      <c r="E375">
        <f>HYPERLINK("http://gitlab.osmosys.co/incident-reporter/incident-reporter-angular-portal", "OQSHA Portal")</f>
        <v/>
      </c>
      <c r="F375">
        <f>HYPERLINK("http://gitlab.osmosys.co/incident-reporter/incident-reporter-angular-portal/-/merge_requests/3688", "feat: add pending with column in moc")</f>
        <v/>
      </c>
      <c r="G375" t="inlineStr">
        <is>
          <t>feat/moc-pending-col</t>
        </is>
      </c>
      <c r="H375" t="inlineStr">
        <is>
          <t>sprint-19</t>
        </is>
      </c>
      <c r="I375" t="inlineStr">
        <is>
          <t>merged</t>
        </is>
      </c>
      <c r="J375" t="inlineStr">
        <is>
          <t>6026c39c5ee3603d2015cf46d2b894ed885477a5</t>
        </is>
      </c>
      <c r="K375">
        <f>HYPERLINK("http://gitlab.osmosys.co/incident-reporter/incident-reporter-angular-portal/-/merge_requests/3688#note_246223", "Updated
![Screen_Recording_2025-08-02_134355](/uploads/85c8453e25becf80b5b499558d6ee436/Screen_Recording_2025-08-02_134355.mp4)")</f>
        <v/>
      </c>
      <c r="L375" t="inlineStr">
        <is>
          <t>2025-08-02 13:43:29.149 IST</t>
        </is>
      </c>
      <c r="M375" t="inlineStr">
        <is>
          <t>Aditya Chakraborty</t>
        </is>
      </c>
      <c r="N375" t="inlineStr">
        <is>
          <t>No</t>
        </is>
      </c>
      <c r="O375" t="inlineStr">
        <is>
          <t>Yes</t>
        </is>
      </c>
      <c r="P375" t="inlineStr">
        <is>
          <t>Soundariya B</t>
        </is>
      </c>
      <c r="Q375" t="inlineStr">
        <is>
          <t>Bad</t>
        </is>
      </c>
    </row>
    <row r="376">
      <c r="A376" t="inlineStr">
        <is>
          <t>aditya.c</t>
        </is>
      </c>
      <c r="B376" t="inlineStr">
        <is>
          <t>Aditya Chakraborty</t>
        </is>
      </c>
      <c r="C376" t="inlineStr">
        <is>
          <t>aditya.c@osmosys.co</t>
        </is>
      </c>
      <c r="D376" t="inlineStr">
        <is>
          <t>incident-reporter</t>
        </is>
      </c>
      <c r="E376">
        <f>HYPERLINK("http://gitlab.osmosys.co/incident-reporter/incident-reporter-angular-portal", "OQSHA Portal")</f>
        <v/>
      </c>
      <c r="F376">
        <f>HYPERLINK("http://gitlab.osmosys.co/incident-reporter/incident-reporter-angular-portal/-/merge_requests/3687", "feat: add pending with column in moc list")</f>
        <v/>
      </c>
      <c r="G376" t="inlineStr">
        <is>
          <t>feat/moc-pending-with</t>
        </is>
      </c>
      <c r="H376" t="inlineStr">
        <is>
          <t>sprint-19</t>
        </is>
      </c>
      <c r="I376" t="inlineStr">
        <is>
          <t>closed</t>
        </is>
      </c>
      <c r="J376" t="inlineStr"/>
      <c r="K376" t="inlineStr"/>
      <c r="L376" t="inlineStr"/>
      <c r="M376" t="inlineStr"/>
      <c r="N376" t="inlineStr"/>
      <c r="O376" t="inlineStr"/>
      <c r="P376" t="inlineStr"/>
      <c r="Q376" t="inlineStr"/>
    </row>
    <row r="377">
      <c r="A377" t="inlineStr">
        <is>
          <t>aditya.c</t>
        </is>
      </c>
      <c r="B377" t="inlineStr">
        <is>
          <t>Aditya Chakraborty</t>
        </is>
      </c>
      <c r="C377" t="inlineStr">
        <is>
          <t>aditya.c@osmosys.co</t>
        </is>
      </c>
      <c r="D377" t="inlineStr">
        <is>
          <t>incident-reporter</t>
        </is>
      </c>
      <c r="E377">
        <f>HYPERLINK("http://gitlab.osmosys.co/incident-reporter/incident-reporter-angular-portal", "OQSHA Portal")</f>
        <v/>
      </c>
      <c r="F377">
        <f>HYPERLINK("http://gitlab.osmosys.co/incident-reporter/incident-reporter-angular-portal/-/merge_requests/3680", "fix: added validation to copy shifts")</f>
        <v/>
      </c>
      <c r="G377" t="inlineStr">
        <is>
          <t>fix/add-copy-shift</t>
        </is>
      </c>
      <c r="H377" t="inlineStr">
        <is>
          <t>sprint-19</t>
        </is>
      </c>
      <c r="I377" t="inlineStr">
        <is>
          <t>opened</t>
        </is>
      </c>
      <c r="J377" t="inlineStr"/>
      <c r="K377" t="inlineStr"/>
      <c r="L377" t="inlineStr"/>
      <c r="M377" t="inlineStr"/>
      <c r="N377" t="inlineStr"/>
      <c r="O377" t="inlineStr"/>
      <c r="P377" t="inlineStr"/>
      <c r="Q377" t="inlineStr"/>
    </row>
    <row r="378">
      <c r="A378" t="inlineStr">
        <is>
          <t>aditya.c</t>
        </is>
      </c>
      <c r="B378" t="inlineStr">
        <is>
          <t>Aditya Chakraborty</t>
        </is>
      </c>
      <c r="C378" t="inlineStr">
        <is>
          <t>aditya.c@osmosys.co</t>
        </is>
      </c>
      <c r="D378" t="inlineStr">
        <is>
          <t>incident-reporter</t>
        </is>
      </c>
      <c r="E378">
        <f>HYPERLINK("http://gitlab.osmosys.co/incident-reporter/incident-reporter-angular-portal", "OQSHA Portal")</f>
        <v/>
      </c>
      <c r="F378">
        <f>HYPERLINK("http://gitlab.osmosys.co/incident-reporter/incident-reporter-angular-portal/-/merge_requests/3679", "Fix/copy shift")</f>
        <v/>
      </c>
      <c r="G378" t="inlineStr">
        <is>
          <t>fix/copy-shift</t>
        </is>
      </c>
      <c r="H378" t="inlineStr">
        <is>
          <t>sprint-18</t>
        </is>
      </c>
      <c r="I378" t="inlineStr">
        <is>
          <t>closed</t>
        </is>
      </c>
      <c r="J378" t="inlineStr"/>
      <c r="K378" t="inlineStr"/>
      <c r="L378" t="inlineStr"/>
      <c r="M378" t="inlineStr"/>
      <c r="N378" t="inlineStr"/>
      <c r="O378" t="inlineStr"/>
      <c r="P378" t="inlineStr"/>
      <c r="Q378" t="inlineStr"/>
    </row>
    <row r="379">
      <c r="A379" t="inlineStr">
        <is>
          <t>aditya.c</t>
        </is>
      </c>
      <c r="B379" t="inlineStr">
        <is>
          <t>Aditya Chakraborty</t>
        </is>
      </c>
      <c r="C379" t="inlineStr">
        <is>
          <t>aditya.c@osmosys.co</t>
        </is>
      </c>
      <c r="D379" t="inlineStr">
        <is>
          <t>incident-reporter</t>
        </is>
      </c>
      <c r="E379">
        <f>HYPERLINK("http://gitlab.osmosys.co/incident-reporter/incident-reporter-angular-portal", "OQSHA Portal")</f>
        <v/>
      </c>
      <c r="F379">
        <f>HYPERLINK("http://gitlab.osmosys.co/incident-reporter/incident-reporter-angular-portal/-/merge_requests/3677", "fix: enhance associated tasks grid of PSSR")</f>
        <v/>
      </c>
      <c r="G379" t="inlineStr">
        <is>
          <t>fix/calendar-widget</t>
        </is>
      </c>
      <c r="H379" t="inlineStr">
        <is>
          <t>sprint-19</t>
        </is>
      </c>
      <c r="I379" t="inlineStr">
        <is>
          <t>merged</t>
        </is>
      </c>
      <c r="J379" t="inlineStr">
        <is>
          <t>75a74a48cda0eb1aa341ded7d8635da426e83b28</t>
        </is>
      </c>
      <c r="K379">
        <f>HYPERLINK("http://gitlab.osmosys.co/incident-reporter/incident-reporter-angular-portal/-/merge_requests/3677#note_245149", "Is this told by lead? If yes then attach chat or informed SS here for a proof because this is  not the way to fix the bug instead it is a new change which should be confirm by MS and leads.
![image.png](//pinestem.com/api/AttachedFiles\f123bb8e-da2c-442c-8070-bc4ad092b15c.png?download=true&amp;fileName=image.png)
Until then I can't approve this PR change")</f>
        <v/>
      </c>
      <c r="L379" t="inlineStr">
        <is>
          <t>2025-07-31 21:43:29.088 IST</t>
        </is>
      </c>
      <c r="M379" t="inlineStr">
        <is>
          <t>Soundariya B</t>
        </is>
      </c>
      <c r="N379" t="inlineStr">
        <is>
          <t>Yes</t>
        </is>
      </c>
      <c r="O379" t="inlineStr">
        <is>
          <t>Yes</t>
        </is>
      </c>
      <c r="P379" t="inlineStr">
        <is>
          <t>Soundariya B</t>
        </is>
      </c>
      <c r="Q379" t="inlineStr">
        <is>
          <t>Bad</t>
        </is>
      </c>
    </row>
    <row r="380">
      <c r="A380" t="inlineStr">
        <is>
          <t>aditya.c</t>
        </is>
      </c>
      <c r="B380" t="inlineStr">
        <is>
          <t>Aditya Chakraborty</t>
        </is>
      </c>
      <c r="C380" t="inlineStr">
        <is>
          <t>aditya.c@osmosys.co</t>
        </is>
      </c>
      <c r="D380" t="inlineStr">
        <is>
          <t>incident-reporter</t>
        </is>
      </c>
      <c r="E380">
        <f>HYPERLINK("http://gitlab.osmosys.co/incident-reporter/incident-reporter-angular-portal", "OQSHA Portal")</f>
        <v/>
      </c>
      <c r="F380">
        <f>HYPERLINK("http://gitlab.osmosys.co/incident-reporter/incident-reporter-angular-portal/-/merge_requests/3677", "fix: enhance associated tasks grid of PSSR")</f>
        <v/>
      </c>
      <c r="G380" t="inlineStr">
        <is>
          <t>fix/calendar-widget</t>
        </is>
      </c>
      <c r="H380" t="inlineStr">
        <is>
          <t>sprint-19</t>
        </is>
      </c>
      <c r="I380" t="inlineStr">
        <is>
          <t>merged</t>
        </is>
      </c>
      <c r="J380" t="inlineStr">
        <is>
          <t>ecb6a325986032457a9ba2d571780b4216b4c3b6</t>
        </is>
      </c>
      <c r="K380">
        <f>HYPERLINK("http://gitlab.osmosys.co/incident-reporter/incident-reporter-angular-portal/-/merge_requests/3677#note_245353", "![image](/uploads/377ca5778b985de064d255f09ee92995/image.png)
* Here filter button should be green if user in calendar mode
* Can you show me the task original grid page, switching btw grid &amp; calendar and this filter functional in both grid and calendar - Make one screen recording and attach to make sure everything is fine with this change no breakage.")</f>
        <v/>
      </c>
      <c r="L380" t="inlineStr">
        <is>
          <t>2025-08-01 14:10:28.890 IST</t>
        </is>
      </c>
      <c r="M380" t="inlineStr">
        <is>
          <t>Soundariya B</t>
        </is>
      </c>
      <c r="N380" t="inlineStr">
        <is>
          <t>Yes</t>
        </is>
      </c>
      <c r="O380" t="inlineStr">
        <is>
          <t>Yes</t>
        </is>
      </c>
      <c r="P380" t="inlineStr">
        <is>
          <t>Soundariya B</t>
        </is>
      </c>
      <c r="Q380" t="inlineStr">
        <is>
          <t>Bad</t>
        </is>
      </c>
    </row>
    <row r="381">
      <c r="A381" t="inlineStr">
        <is>
          <t>aditya.c</t>
        </is>
      </c>
      <c r="B381" t="inlineStr">
        <is>
          <t>Aditya Chakraborty</t>
        </is>
      </c>
      <c r="C381" t="inlineStr">
        <is>
          <t>aditya.c@osmosys.co</t>
        </is>
      </c>
      <c r="D381" t="inlineStr">
        <is>
          <t>incident-reporter</t>
        </is>
      </c>
      <c r="E381">
        <f>HYPERLINK("http://gitlab.osmosys.co/incident-reporter/incident-reporter-angular-portal", "OQSHA Portal")</f>
        <v/>
      </c>
      <c r="F381">
        <f>HYPERLINK("http://gitlab.osmosys.co/incident-reporter/incident-reporter-angular-portal/-/merge_requests/3677", "fix: enhance associated tasks grid of PSSR")</f>
        <v/>
      </c>
      <c r="G381" t="inlineStr">
        <is>
          <t>fix/calendar-widget</t>
        </is>
      </c>
      <c r="H381" t="inlineStr">
        <is>
          <t>sprint-19</t>
        </is>
      </c>
      <c r="I381" t="inlineStr">
        <is>
          <t>merged</t>
        </is>
      </c>
      <c r="J381" t="inlineStr">
        <is>
          <t>ecb6a325986032457a9ba2d571780b4216b4c3b6</t>
        </is>
      </c>
      <c r="K381">
        <f>HYPERLINK("http://gitlab.osmosys.co/incident-reporter/incident-reporter-angular-portal/-/merge_requests/3677#note_245585", "Here filter button should be green if user in calendar mode - NOT YET FIXED
2nd one - FIXED")</f>
        <v/>
      </c>
      <c r="L381" t="inlineStr">
        <is>
          <t>2025-08-01 16:39:10.862 IST</t>
        </is>
      </c>
      <c r="M381" t="inlineStr">
        <is>
          <t>Soundariya B</t>
        </is>
      </c>
      <c r="N381" t="inlineStr">
        <is>
          <t>Yes</t>
        </is>
      </c>
      <c r="O381" t="inlineStr">
        <is>
          <t>Yes</t>
        </is>
      </c>
      <c r="P381" t="inlineStr">
        <is>
          <t>Soundariya B</t>
        </is>
      </c>
      <c r="Q381" t="inlineStr">
        <is>
          <t>Bad</t>
        </is>
      </c>
    </row>
    <row r="382">
      <c r="A382" t="inlineStr">
        <is>
          <t>aditya.c</t>
        </is>
      </c>
      <c r="B382" t="inlineStr">
        <is>
          <t>Aditya Chakraborty</t>
        </is>
      </c>
      <c r="C382" t="inlineStr">
        <is>
          <t>aditya.c@osmosys.co</t>
        </is>
      </c>
      <c r="D382" t="inlineStr">
        <is>
          <t>incident-reporter</t>
        </is>
      </c>
      <c r="E382">
        <f>HYPERLINK("http://gitlab.osmosys.co/incident-reporter/incident-reporter-angular-portal", "OQSHA Portal")</f>
        <v/>
      </c>
      <c r="F382">
        <f>HYPERLINK("http://gitlab.osmosys.co/incident-reporter/incident-reporter-angular-portal/-/merge_requests/3677", "fix: enhance associated tasks grid of PSSR")</f>
        <v/>
      </c>
      <c r="G382" t="inlineStr">
        <is>
          <t>fix/calendar-widget</t>
        </is>
      </c>
      <c r="H382" t="inlineStr">
        <is>
          <t>sprint-19</t>
        </is>
      </c>
      <c r="I382" t="inlineStr">
        <is>
          <t>merged</t>
        </is>
      </c>
      <c r="J382" t="inlineStr">
        <is>
          <t>ecb6a325986032457a9ba2d571780b4216b4c3b6</t>
        </is>
      </c>
      <c r="K382">
        <f>HYPERLINK("http://gitlab.osmosys.co/incident-reporter/incident-reporter-angular-portal/-/merge_requests/3677#note_245675", "Color can be ignored for now.")</f>
        <v/>
      </c>
      <c r="L382" t="inlineStr">
        <is>
          <t>2025-08-01 17:59:54.106 IST</t>
        </is>
      </c>
      <c r="M382" t="inlineStr">
        <is>
          <t>Raj Kumar</t>
        </is>
      </c>
      <c r="N382" t="inlineStr">
        <is>
          <t>Yes</t>
        </is>
      </c>
      <c r="O382" t="inlineStr">
        <is>
          <t>Yes</t>
        </is>
      </c>
      <c r="P382" t="inlineStr">
        <is>
          <t>Soundariya B</t>
        </is>
      </c>
      <c r="Q382" t="inlineStr">
        <is>
          <t>Bad</t>
        </is>
      </c>
    </row>
    <row r="383">
      <c r="A383" t="inlineStr">
        <is>
          <t>aditya.c</t>
        </is>
      </c>
      <c r="B383" t="inlineStr">
        <is>
          <t>Aditya Chakraborty</t>
        </is>
      </c>
      <c r="C383" t="inlineStr">
        <is>
          <t>aditya.c@osmosys.co</t>
        </is>
      </c>
      <c r="D383" t="inlineStr">
        <is>
          <t>incident-reporter</t>
        </is>
      </c>
      <c r="E383">
        <f>HYPERLINK("http://gitlab.osmosys.co/incident-reporter/incident-reporter-angular-portal", "OQSHA Portal")</f>
        <v/>
      </c>
      <c r="F383">
        <f>HYPERLINK("http://gitlab.osmosys.co/incident-reporter/incident-reporter-angular-portal/-/merge_requests/3677", "fix: enhance associated tasks grid of PSSR")</f>
        <v/>
      </c>
      <c r="G383" t="inlineStr">
        <is>
          <t>fix/calendar-widget</t>
        </is>
      </c>
      <c r="H383" t="inlineStr">
        <is>
          <t>sprint-19</t>
        </is>
      </c>
      <c r="I383" t="inlineStr">
        <is>
          <t>merged</t>
        </is>
      </c>
      <c r="J383" t="inlineStr">
        <is>
          <t>22a9d94c1fad94844cbb55038c14232c68fe3021</t>
        </is>
      </c>
      <c r="K383">
        <f>HYPERLINK("http://gitlab.osmosys.co/incident-reporter/incident-reporter-angular-portal/-/merge_requests/3677#note_245354", "What is here isMobile? What it is doing actually? I think it is checking whether the page using in any accordion right so please give proper name like embed mode or isAccordion")</f>
        <v/>
      </c>
      <c r="L383" t="inlineStr">
        <is>
          <t>2025-08-01 14:10:28.969 IST</t>
        </is>
      </c>
      <c r="M383" t="inlineStr">
        <is>
          <t>Soundariya B</t>
        </is>
      </c>
      <c r="N383" t="inlineStr">
        <is>
          <t>Yes</t>
        </is>
      </c>
      <c r="O383" t="inlineStr">
        <is>
          <t>Yes</t>
        </is>
      </c>
      <c r="P383" t="inlineStr">
        <is>
          <t>Soundariya B</t>
        </is>
      </c>
      <c r="Q383" t="inlineStr">
        <is>
          <t>Neutral</t>
        </is>
      </c>
    </row>
    <row r="384">
      <c r="A384" t="inlineStr">
        <is>
          <t>aditya.c</t>
        </is>
      </c>
      <c r="B384" t="inlineStr">
        <is>
          <t>Aditya Chakraborty</t>
        </is>
      </c>
      <c r="C384" t="inlineStr">
        <is>
          <t>aditya.c@osmosys.co</t>
        </is>
      </c>
      <c r="D384" t="inlineStr">
        <is>
          <t>incident-reporter</t>
        </is>
      </c>
      <c r="E384">
        <f>HYPERLINK("http://gitlab.osmosys.co/incident-reporter/incident-reporter-angular-portal", "OQSHA Portal")</f>
        <v/>
      </c>
      <c r="F384">
        <f>HYPERLINK("http://gitlab.osmosys.co/incident-reporter/incident-reporter-angular-portal/-/merge_requests/3677", "fix: enhance associated tasks grid of PSSR")</f>
        <v/>
      </c>
      <c r="G384" t="inlineStr">
        <is>
          <t>fix/calendar-widget</t>
        </is>
      </c>
      <c r="H384" t="inlineStr">
        <is>
          <t>sprint-19</t>
        </is>
      </c>
      <c r="I384" t="inlineStr">
        <is>
          <t>merged</t>
        </is>
      </c>
      <c r="J384" t="inlineStr">
        <is>
          <t>22a9d94c1fad94844cbb55038c14232c68fe3021</t>
        </is>
      </c>
      <c r="K384">
        <f>HYPERLINK("http://gitlab.osmosys.co/incident-reporter/incident-reporter-angular-portal/-/merge_requests/3677#note_245435", "No - it checks if the page is opened in mobile view
I added this 1 month ago in sprint-17")</f>
        <v/>
      </c>
      <c r="L384" t="inlineStr">
        <is>
          <t>2025-08-01 14:53:25.872 IST</t>
        </is>
      </c>
      <c r="M384" t="inlineStr">
        <is>
          <t>Aditya Chakraborty</t>
        </is>
      </c>
      <c r="N384" t="inlineStr">
        <is>
          <t>No</t>
        </is>
      </c>
      <c r="O384" t="inlineStr">
        <is>
          <t>Yes</t>
        </is>
      </c>
      <c r="P384" t="inlineStr">
        <is>
          <t>Soundariya B</t>
        </is>
      </c>
      <c r="Q384" t="inlineStr">
        <is>
          <t>Neutral</t>
        </is>
      </c>
    </row>
    <row r="385">
      <c r="A385" t="inlineStr">
        <is>
          <t>aditya.c</t>
        </is>
      </c>
      <c r="B385" t="inlineStr">
        <is>
          <t>Aditya Chakraborty</t>
        </is>
      </c>
      <c r="C385" t="inlineStr">
        <is>
          <t>aditya.c@osmosys.co</t>
        </is>
      </c>
      <c r="D385" t="inlineStr">
        <is>
          <t>incident-reporter</t>
        </is>
      </c>
      <c r="E385">
        <f>HYPERLINK("http://gitlab.osmosys.co/incident-reporter/incident-reporter-angular-portal", "OQSHA Portal")</f>
        <v/>
      </c>
      <c r="F385">
        <f>HYPERLINK("http://gitlab.osmosys.co/incident-reporter/incident-reporter-angular-portal/-/merge_requests/3677", "fix: enhance associated tasks grid of PSSR")</f>
        <v/>
      </c>
      <c r="G385" t="inlineStr">
        <is>
          <t>fix/calendar-widget</t>
        </is>
      </c>
      <c r="H385" t="inlineStr">
        <is>
          <t>sprint-19</t>
        </is>
      </c>
      <c r="I385" t="inlineStr">
        <is>
          <t>merged</t>
        </is>
      </c>
      <c r="J385" t="inlineStr">
        <is>
          <t>99595e4c7f53f9aab69e95e6a946218f78438b47</t>
        </is>
      </c>
      <c r="K385">
        <f>HYPERLINK("http://gitlab.osmosys.co/incident-reporter/incident-reporter-angular-portal/-/merge_requests/3677#note_245355", "Why this is remove?")</f>
        <v/>
      </c>
      <c r="L385" t="inlineStr">
        <is>
          <t>2025-08-01 14:10:29.028 IST</t>
        </is>
      </c>
      <c r="M385" t="inlineStr">
        <is>
          <t>Soundariya B</t>
        </is>
      </c>
      <c r="N385" t="inlineStr">
        <is>
          <t>Yes</t>
        </is>
      </c>
      <c r="O385" t="inlineStr">
        <is>
          <t>Yes</t>
        </is>
      </c>
      <c r="P385" t="inlineStr">
        <is>
          <t>Soundariya B</t>
        </is>
      </c>
      <c r="Q385" t="inlineStr">
        <is>
          <t>Bad</t>
        </is>
      </c>
    </row>
    <row r="386">
      <c r="A386" t="inlineStr">
        <is>
          <t>aditya.c</t>
        </is>
      </c>
      <c r="B386" t="inlineStr">
        <is>
          <t>Aditya Chakraborty</t>
        </is>
      </c>
      <c r="C386" t="inlineStr">
        <is>
          <t>aditya.c@osmosys.co</t>
        </is>
      </c>
      <c r="D386" t="inlineStr">
        <is>
          <t>incident-reporter</t>
        </is>
      </c>
      <c r="E386">
        <f>HYPERLINK("http://gitlab.osmosys.co/incident-reporter/incident-reporter-angular-portal", "OQSHA Portal")</f>
        <v/>
      </c>
      <c r="F386">
        <f>HYPERLINK("http://gitlab.osmosys.co/incident-reporter/incident-reporter-angular-portal/-/merge_requests/3677", "fix: enhance associated tasks grid of PSSR")</f>
        <v/>
      </c>
      <c r="G386" t="inlineStr">
        <is>
          <t>fix/calendar-widget</t>
        </is>
      </c>
      <c r="H386" t="inlineStr">
        <is>
          <t>sprint-19</t>
        </is>
      </c>
      <c r="I386" t="inlineStr">
        <is>
          <t>merged</t>
        </is>
      </c>
      <c r="J386" t="inlineStr">
        <is>
          <t>e9e590f2bbba0320b69e3e5d6edfa6e876c2c3e5</t>
        </is>
      </c>
      <c r="K386">
        <f>HYPERLINK("http://gitlab.osmosys.co/incident-reporter/incident-reporter-angular-portal/-/merge_requests/3677#note_245356", "It should be btn-calendar-filter")</f>
        <v/>
      </c>
      <c r="L386" t="inlineStr">
        <is>
          <t>2025-08-01 14:10:29.075 IST</t>
        </is>
      </c>
      <c r="M386" t="inlineStr">
        <is>
          <t>Soundariya B</t>
        </is>
      </c>
      <c r="N386" t="inlineStr">
        <is>
          <t>Yes</t>
        </is>
      </c>
      <c r="O386" t="inlineStr">
        <is>
          <t>Yes</t>
        </is>
      </c>
      <c r="P386" t="inlineStr">
        <is>
          <t>Soundariya B</t>
        </is>
      </c>
      <c r="Q386" t="inlineStr">
        <is>
          <t>Bad</t>
        </is>
      </c>
    </row>
    <row r="387">
      <c r="A387" t="inlineStr">
        <is>
          <t>aditya.c</t>
        </is>
      </c>
      <c r="B387" t="inlineStr">
        <is>
          <t>Aditya Chakraborty</t>
        </is>
      </c>
      <c r="C387" t="inlineStr">
        <is>
          <t>aditya.c@osmosys.co</t>
        </is>
      </c>
      <c r="D387" t="inlineStr">
        <is>
          <t>incident-reporter</t>
        </is>
      </c>
      <c r="E387">
        <f>HYPERLINK("http://gitlab.osmosys.co/incident-reporter/incident-reporter-angular-portal", "OQSHA Portal")</f>
        <v/>
      </c>
      <c r="F387">
        <f>HYPERLINK("http://gitlab.osmosys.co/incident-reporter/incident-reporter-angular-portal/-/merge_requests/3677", "fix: enhance associated tasks grid of PSSR")</f>
        <v/>
      </c>
      <c r="G387" t="inlineStr">
        <is>
          <t>fix/calendar-widget</t>
        </is>
      </c>
      <c r="H387" t="inlineStr">
        <is>
          <t>sprint-19</t>
        </is>
      </c>
      <c r="I387" t="inlineStr">
        <is>
          <t>merged</t>
        </is>
      </c>
      <c r="J387" t="inlineStr">
        <is>
          <t>e3e82cf4c013f634b2208ea9cd0d2378b48facda</t>
        </is>
      </c>
      <c r="K387">
        <f>HYPERLINK("http://gitlab.osmosys.co/incident-reporter/incident-reporter-angular-portal/-/merge_requests/3677#note_245357", "Why here label taking from 'TICKET_DASHBOARD' instead it should take from task label object right?")</f>
        <v/>
      </c>
      <c r="L387" t="inlineStr">
        <is>
          <t>2025-08-01 14:10:29.128 IST</t>
        </is>
      </c>
      <c r="M387" t="inlineStr">
        <is>
          <t>Soundariya B</t>
        </is>
      </c>
      <c r="N387" t="inlineStr">
        <is>
          <t>Yes</t>
        </is>
      </c>
      <c r="O387" t="inlineStr">
        <is>
          <t>Yes</t>
        </is>
      </c>
      <c r="P387" t="inlineStr">
        <is>
          <t>Soundariya B</t>
        </is>
      </c>
      <c r="Q387" t="inlineStr">
        <is>
          <t>Neutral</t>
        </is>
      </c>
    </row>
    <row r="388">
      <c r="A388" t="inlineStr">
        <is>
          <t>aditya.c</t>
        </is>
      </c>
      <c r="B388" t="inlineStr">
        <is>
          <t>Aditya Chakraborty</t>
        </is>
      </c>
      <c r="C388" t="inlineStr">
        <is>
          <t>aditya.c@osmosys.co</t>
        </is>
      </c>
      <c r="D388" t="inlineStr">
        <is>
          <t>incident-reporter</t>
        </is>
      </c>
      <c r="E388">
        <f>HYPERLINK("http://gitlab.osmosys.co/incident-reporter/incident-reporter-angular-portal", "OQSHA Portal")</f>
        <v/>
      </c>
      <c r="F388">
        <f>HYPERLINK("http://gitlab.osmosys.co/incident-reporter/incident-reporter-angular-portal/-/merge_requests/3677", "fix: enhance associated tasks grid of PSSR")</f>
        <v/>
      </c>
      <c r="G388" t="inlineStr">
        <is>
          <t>fix/calendar-widget</t>
        </is>
      </c>
      <c r="H388" t="inlineStr">
        <is>
          <t>sprint-19</t>
        </is>
      </c>
      <c r="I388" t="inlineStr">
        <is>
          <t>merged</t>
        </is>
      </c>
      <c r="J388" t="inlineStr">
        <is>
          <t>e3e82cf4c013f634b2208ea9cd0d2378b48facda</t>
        </is>
      </c>
      <c r="K388">
        <f>HYPERLINK("http://gitlab.osmosys.co/incident-reporter/incident-reporter-angular-portal/-/merge_requests/3677#note_245437", "This should have been brought up when the original implementation was done by @bhavana.a 
I copied from the same component
![image](/uploads/450f419dfbf2c1b195b5439db581b489/image.png){width=1209 height=225}")</f>
        <v/>
      </c>
      <c r="L388" t="inlineStr">
        <is>
          <t>2025-08-01 14:55:42.339 IST</t>
        </is>
      </c>
      <c r="M388" t="inlineStr">
        <is>
          <t>Aditya Chakraborty</t>
        </is>
      </c>
      <c r="N388" t="inlineStr">
        <is>
          <t>No</t>
        </is>
      </c>
      <c r="O388" t="inlineStr">
        <is>
          <t>Yes</t>
        </is>
      </c>
      <c r="P388" t="inlineStr">
        <is>
          <t>Soundariya B</t>
        </is>
      </c>
      <c r="Q388" t="inlineStr">
        <is>
          <t>Neutral</t>
        </is>
      </c>
    </row>
    <row r="389">
      <c r="A389" t="inlineStr">
        <is>
          <t>aditya.c</t>
        </is>
      </c>
      <c r="B389" t="inlineStr">
        <is>
          <t>Aditya Chakraborty</t>
        </is>
      </c>
      <c r="C389" t="inlineStr">
        <is>
          <t>aditya.c@osmosys.co</t>
        </is>
      </c>
      <c r="D389" t="inlineStr">
        <is>
          <t>incident-reporter</t>
        </is>
      </c>
      <c r="E389">
        <f>HYPERLINK("http://gitlab.osmosys.co/incident-reporter/incident-reporter-angular-portal", "OQSHA Portal")</f>
        <v/>
      </c>
      <c r="F389">
        <f>HYPERLINK("http://gitlab.osmosys.co/incident-reporter/incident-reporter-angular-portal/-/merge_requests/3677", "fix: enhance associated tasks grid of PSSR")</f>
        <v/>
      </c>
      <c r="G389" t="inlineStr">
        <is>
          <t>fix/calendar-widget</t>
        </is>
      </c>
      <c r="H389" t="inlineStr">
        <is>
          <t>sprint-19</t>
        </is>
      </c>
      <c r="I389" t="inlineStr">
        <is>
          <t>merged</t>
        </is>
      </c>
      <c r="J389" t="inlineStr">
        <is>
          <t>a4ce1881aaea2cbcb49bcd245f1d5b17c907d964</t>
        </is>
      </c>
      <c r="K389">
        <f>HYPERLINK("http://gitlab.osmosys.co/incident-reporter/incident-reporter-angular-portal/-/merge_requests/3677#note_245358", "You can add changes here also please don't change the code positioning in this case because all event/btn related things defined here so please update the new changes here and remove the above one line no. 738 to 746")</f>
        <v/>
      </c>
      <c r="L389" t="inlineStr">
        <is>
          <t>2025-08-01 14:10:29.182 IST</t>
        </is>
      </c>
      <c r="M389" t="inlineStr">
        <is>
          <t>Soundariya B</t>
        </is>
      </c>
      <c r="N389" t="inlineStr">
        <is>
          <t>Yes</t>
        </is>
      </c>
      <c r="O389" t="inlineStr">
        <is>
          <t>Yes</t>
        </is>
      </c>
      <c r="P389" t="inlineStr">
        <is>
          <t>Soundariya B</t>
        </is>
      </c>
      <c r="Q389" t="inlineStr">
        <is>
          <t>Neutral</t>
        </is>
      </c>
    </row>
    <row r="390">
      <c r="A390" t="inlineStr">
        <is>
          <t>aditya.c</t>
        </is>
      </c>
      <c r="B390" t="inlineStr">
        <is>
          <t>Aditya Chakraborty</t>
        </is>
      </c>
      <c r="C390" t="inlineStr">
        <is>
          <t>aditya.c@osmosys.co</t>
        </is>
      </c>
      <c r="D390" t="inlineStr">
        <is>
          <t>incident-reporter</t>
        </is>
      </c>
      <c r="E390">
        <f>HYPERLINK("http://gitlab.osmosys.co/incident-reporter/incident-reporter-angular-portal", "OQSHA Portal")</f>
        <v/>
      </c>
      <c r="F390">
        <f>HYPERLINK("http://gitlab.osmosys.co/incident-reporter/incident-reporter-angular-portal/-/merge_requests/3677", "fix: enhance associated tasks grid of PSSR")</f>
        <v/>
      </c>
      <c r="G390" t="inlineStr">
        <is>
          <t>fix/calendar-widget</t>
        </is>
      </c>
      <c r="H390" t="inlineStr">
        <is>
          <t>sprint-19</t>
        </is>
      </c>
      <c r="I390" t="inlineStr">
        <is>
          <t>merged</t>
        </is>
      </c>
      <c r="J390" t="inlineStr">
        <is>
          <t>a4ce1881aaea2cbcb49bcd245f1d5b17c907d964</t>
        </is>
      </c>
      <c r="K390">
        <f>HYPERLINK("http://gitlab.osmosys.co/incident-reporter/incident-reporter-angular-portal/-/merge_requests/3677#note_245438", "These are all written by me - and I have attached the working recording")</f>
        <v/>
      </c>
      <c r="L390" t="inlineStr">
        <is>
          <t>2025-08-01 14:56:18.755 IST</t>
        </is>
      </c>
      <c r="M390" t="inlineStr">
        <is>
          <t>Aditya Chakraborty</t>
        </is>
      </c>
      <c r="N390" t="inlineStr">
        <is>
          <t>No</t>
        </is>
      </c>
      <c r="O390" t="inlineStr">
        <is>
          <t>Yes</t>
        </is>
      </c>
      <c r="P390" t="inlineStr">
        <is>
          <t>Soundariya B</t>
        </is>
      </c>
      <c r="Q390" t="inlineStr">
        <is>
          <t>Neutral</t>
        </is>
      </c>
    </row>
    <row r="391">
      <c r="A391" t="inlineStr">
        <is>
          <t>aditya.c</t>
        </is>
      </c>
      <c r="B391" t="inlineStr">
        <is>
          <t>Aditya Chakraborty</t>
        </is>
      </c>
      <c r="C391" t="inlineStr">
        <is>
          <t>aditya.c@osmosys.co</t>
        </is>
      </c>
      <c r="D391" t="inlineStr">
        <is>
          <t>incident-reporter</t>
        </is>
      </c>
      <c r="E391">
        <f>HYPERLINK("http://gitlab.osmosys.co/incident-reporter/incident-reporter-angular-portal", "OQSHA Portal")</f>
        <v/>
      </c>
      <c r="F391">
        <f>HYPERLINK("http://gitlab.osmosys.co/incident-reporter/incident-reporter-angular-portal/-/merge_requests/3677", "fix: enhance associated tasks grid of PSSR")</f>
        <v/>
      </c>
      <c r="G391" t="inlineStr">
        <is>
          <t>fix/calendar-widget</t>
        </is>
      </c>
      <c r="H391" t="inlineStr">
        <is>
          <t>sprint-19</t>
        </is>
      </c>
      <c r="I391" t="inlineStr">
        <is>
          <t>merged</t>
        </is>
      </c>
      <c r="J391" t="inlineStr">
        <is>
          <t>b08f53f43d51f60008984f77014a8b8c2bfe0e7a</t>
        </is>
      </c>
      <c r="K391">
        <f>HYPERLINK("http://gitlab.osmosys.co/incident-reporter/incident-reporter-angular-portal/-/merge_requests/3677#note_245598", "- Improve and try this
- Avoided nested if blocks
- Keep logic concise while preserving original behavior.
```
const customButtons = this.isWidget
  ? {
      filterButton: { click: () =&gt; this.toggleFilters() },
    }
  : undefined;
const calendarViews = `${constants.CALENDAR_OPTIONS.DAY_GRID_MONTH},${constants.CALENDAR_OPTIONS.DAY_GRID_WEEK}`;
let rightToolbar = '';
if (this.isWidget) {
  rightToolbar = this.isMobile ? 'filterButton' : `filterButton ${calendarViews}`;
} else if (!this.isMobile) {
  rightToolbar = calendarViews;
}
```")</f>
        <v/>
      </c>
      <c r="L391" t="inlineStr">
        <is>
          <t>2025-08-01 16:47:18.598 IST</t>
        </is>
      </c>
      <c r="M391" t="inlineStr">
        <is>
          <t>Soundariya B</t>
        </is>
      </c>
      <c r="N391" t="inlineStr">
        <is>
          <t>Yes</t>
        </is>
      </c>
      <c r="O391" t="inlineStr">
        <is>
          <t>Yes</t>
        </is>
      </c>
      <c r="P391" t="inlineStr">
        <is>
          <t>Soundariya B</t>
        </is>
      </c>
      <c r="Q391" t="inlineStr">
        <is>
          <t>Good</t>
        </is>
      </c>
    </row>
    <row r="392">
      <c r="A392" t="inlineStr">
        <is>
          <t>aditya.c</t>
        </is>
      </c>
      <c r="B392" t="inlineStr">
        <is>
          <t>Aditya Chakraborty</t>
        </is>
      </c>
      <c r="C392" t="inlineStr">
        <is>
          <t>aditya.c@osmosys.co</t>
        </is>
      </c>
      <c r="D392" t="inlineStr">
        <is>
          <t>incident-reporter</t>
        </is>
      </c>
      <c r="E392">
        <f>HYPERLINK("http://gitlab.osmosys.co/incident-reporter/incident-reporter-angular-portal", "OQSHA Portal")</f>
        <v/>
      </c>
      <c r="F392">
        <f>HYPERLINK("http://gitlab.osmosys.co/incident-reporter/incident-reporter-angular-portal/-/merge_requests/3677", "fix: enhance associated tasks grid of PSSR")</f>
        <v/>
      </c>
      <c r="G392" t="inlineStr">
        <is>
          <t>fix/calendar-widget</t>
        </is>
      </c>
      <c r="H392" t="inlineStr">
        <is>
          <t>sprint-19</t>
        </is>
      </c>
      <c r="I392" t="inlineStr">
        <is>
          <t>merged</t>
        </is>
      </c>
      <c r="J392" t="inlineStr">
        <is>
          <t>b08f53f43d51f60008984f77014a8b8c2bfe0e7a</t>
        </is>
      </c>
      <c r="K392">
        <f>HYPERLINK("http://gitlab.osmosys.co/incident-reporter/incident-reporter-angular-portal/-/merge_requests/3677#note_245786", "Updated")</f>
        <v/>
      </c>
      <c r="L392" t="inlineStr">
        <is>
          <t>2025-08-01 19:25:40.723 IST</t>
        </is>
      </c>
      <c r="M392" t="inlineStr">
        <is>
          <t>Aditya Chakraborty</t>
        </is>
      </c>
      <c r="N392" t="inlineStr">
        <is>
          <t>No</t>
        </is>
      </c>
      <c r="O392" t="inlineStr">
        <is>
          <t>Yes</t>
        </is>
      </c>
      <c r="P392" t="inlineStr">
        <is>
          <t>Soundariya B</t>
        </is>
      </c>
      <c r="Q392" t="inlineStr">
        <is>
          <t>Good</t>
        </is>
      </c>
    </row>
    <row r="393">
      <c r="A393" t="inlineStr">
        <is>
          <t>aditya.c</t>
        </is>
      </c>
      <c r="B393" t="inlineStr">
        <is>
          <t>Aditya Chakraborty</t>
        </is>
      </c>
      <c r="C393" t="inlineStr">
        <is>
          <t>aditya.c@osmosys.co</t>
        </is>
      </c>
      <c r="D393" t="inlineStr">
        <is>
          <t>incident-reporter</t>
        </is>
      </c>
      <c r="E393">
        <f>HYPERLINK("http://gitlab.osmosys.co/incident-reporter/incident-reporter-angular-portal", "OQSHA Portal")</f>
        <v/>
      </c>
      <c r="F393">
        <f>HYPERLINK("http://gitlab.osmosys.co/incident-reporter/incident-reporter-angular-portal/-/merge_requests/3664", "fix: update widget overflow logic")</f>
        <v/>
      </c>
      <c r="G393" t="inlineStr">
        <is>
          <t>fix/filter-widget-position</t>
        </is>
      </c>
      <c r="H393" t="inlineStr">
        <is>
          <t>sprint-18</t>
        </is>
      </c>
      <c r="I393" t="inlineStr">
        <is>
          <t>merged</t>
        </is>
      </c>
      <c r="J393" t="inlineStr"/>
      <c r="K393" t="inlineStr"/>
      <c r="L393" t="inlineStr"/>
      <c r="M393" t="inlineStr"/>
      <c r="N393" t="inlineStr"/>
      <c r="O393" t="inlineStr"/>
      <c r="P393" t="inlineStr"/>
      <c r="Q393" t="inlineStr"/>
    </row>
    <row r="394">
      <c r="A394" t="inlineStr">
        <is>
          <t>aditya.c</t>
        </is>
      </c>
      <c r="B394" t="inlineStr">
        <is>
          <t>Aditya Chakraborty</t>
        </is>
      </c>
      <c r="C394" t="inlineStr">
        <is>
          <t>aditya.c@osmosys.co</t>
        </is>
      </c>
      <c r="D394" t="inlineStr">
        <is>
          <t>incident-reporter</t>
        </is>
      </c>
      <c r="E394">
        <f>HYPERLINK("http://gitlab.osmosys.co/incident-reporter/incident-reporter-angular-portal", "OQSHA Portal")</f>
        <v/>
      </c>
      <c r="F394">
        <f>HYPERLINK("http://gitlab.osmosys.co/incident-reporter/incident-reporter-angular-portal/-/merge_requests/3662", "fix: update logic to handle is manual flag")</f>
        <v/>
      </c>
      <c r="G394" t="inlineStr">
        <is>
          <t>fix/copy-is-manual</t>
        </is>
      </c>
      <c r="H394" t="inlineStr">
        <is>
          <t>sprint-18</t>
        </is>
      </c>
      <c r="I394" t="inlineStr">
        <is>
          <t>merged</t>
        </is>
      </c>
      <c r="J394" t="inlineStr">
        <is>
          <t>2c68becc35f2ef999f0a9b13185c685a0cb8a541</t>
        </is>
      </c>
      <c r="K394">
        <f>HYPERLINK("http://gitlab.osmosys.co/incident-reporter/incident-reporter-angular-portal/-/merge_requests/3662#note_244127", "Revert this change and I think this did intentionally as you can check SS, if this change is asked by leads then leave it and no need to any changes if copied new ptw form will have current date for both start and end date field.
![image](/uploads/52b80523fbe4c140b5bbcc2593fc9386/image.png)
![image](/uploads/7ad41341bc2820c5662cb350ebb8e771/image.png)")</f>
        <v/>
      </c>
      <c r="L394" t="inlineStr">
        <is>
          <t>2025-07-30 12:29:20.943 IST</t>
        </is>
      </c>
      <c r="M394" t="inlineStr">
        <is>
          <t>Soundariya B</t>
        </is>
      </c>
      <c r="N394" t="inlineStr">
        <is>
          <t>Yes</t>
        </is>
      </c>
      <c r="O394" t="inlineStr">
        <is>
          <t>Yes</t>
        </is>
      </c>
      <c r="P394" t="inlineStr">
        <is>
          <t>Soundariya B</t>
        </is>
      </c>
      <c r="Q394" t="inlineStr">
        <is>
          <t>Bad</t>
        </is>
      </c>
    </row>
    <row r="395">
      <c r="A395" t="inlineStr">
        <is>
          <t>aditya.c</t>
        </is>
      </c>
      <c r="B395" t="inlineStr">
        <is>
          <t>Aditya Chakraborty</t>
        </is>
      </c>
      <c r="C395" t="inlineStr">
        <is>
          <t>aditya.c@osmosys.co</t>
        </is>
      </c>
      <c r="D395" t="inlineStr">
        <is>
          <t>incident-reporter</t>
        </is>
      </c>
      <c r="E395">
        <f>HYPERLINK("http://gitlab.osmosys.co/incident-reporter/incident-reporter-angular-portal", "OQSHA Portal")</f>
        <v/>
      </c>
      <c r="F395">
        <f>HYPERLINK("http://gitlab.osmosys.co/incident-reporter/incident-reporter-angular-portal/-/merge_requests/3662", "fix: update logic to handle is manual flag")</f>
        <v/>
      </c>
      <c r="G395" t="inlineStr">
        <is>
          <t>fix/copy-is-manual</t>
        </is>
      </c>
      <c r="H395" t="inlineStr">
        <is>
          <t>sprint-18</t>
        </is>
      </c>
      <c r="I395" t="inlineStr">
        <is>
          <t>merged</t>
        </is>
      </c>
      <c r="J395" t="inlineStr">
        <is>
          <t>af10328de67b3e6ce8edaada46d950de7db1ed58</t>
        </is>
      </c>
      <c r="K395">
        <f>HYPERLINK("http://gitlab.osmosys.co/incident-reporter/incident-reporter-angular-portal/-/merge_requests/3662#note_244128", "![image](/uploads/7dc24ee94bef4be6c37107b306ddc5a5/image.png)
Start time should also be there as inside if you have start/end time - column name should be Start date &amp; time and End date &amp; time.")</f>
        <v/>
      </c>
      <c r="L395" t="inlineStr">
        <is>
          <t>2025-07-30 12:29:21.005 IST</t>
        </is>
      </c>
      <c r="M395" t="inlineStr">
        <is>
          <t>Soundariya B</t>
        </is>
      </c>
      <c r="N395" t="inlineStr">
        <is>
          <t>Yes</t>
        </is>
      </c>
      <c r="O395" t="inlineStr">
        <is>
          <t>Yes</t>
        </is>
      </c>
      <c r="P395" t="inlineStr">
        <is>
          <t>Soundariya B</t>
        </is>
      </c>
      <c r="Q395" t="inlineStr">
        <is>
          <t>Bad</t>
        </is>
      </c>
    </row>
    <row r="396">
      <c r="A396" t="inlineStr">
        <is>
          <t>aditya.c</t>
        </is>
      </c>
      <c r="B396" t="inlineStr">
        <is>
          <t>Aditya Chakraborty</t>
        </is>
      </c>
      <c r="C396" t="inlineStr">
        <is>
          <t>aditya.c@osmosys.co</t>
        </is>
      </c>
      <c r="D396" t="inlineStr">
        <is>
          <t>incident-reporter</t>
        </is>
      </c>
      <c r="E396">
        <f>HYPERLINK("http://gitlab.osmosys.co/incident-reporter/incident-reporter-angular-portal", "OQSHA Portal")</f>
        <v/>
      </c>
      <c r="F396">
        <f>HYPERLINK("http://gitlab.osmosys.co/incident-reporter/incident-reporter-angular-portal/-/merge_requests/3662", "fix: update logic to handle is manual flag")</f>
        <v/>
      </c>
      <c r="G396" t="inlineStr">
        <is>
          <t>fix/copy-is-manual</t>
        </is>
      </c>
      <c r="H396" t="inlineStr">
        <is>
          <t>sprint-18</t>
        </is>
      </c>
      <c r="I396" t="inlineStr">
        <is>
          <t>merged</t>
        </is>
      </c>
      <c r="J396" t="inlineStr">
        <is>
          <t>af10328de67b3e6ce8edaada46d950de7db1ed58</t>
        </is>
      </c>
      <c r="K396">
        <f>HYPERLINK("http://gitlab.osmosys.co/incident-reporter/incident-reporter-angular-portal/-/merge_requests/3662#note_244242", "![image](/uploads/00415d69001907aa6d1a527fe3626cc4/image.png){width=1011 height=513}")</f>
        <v/>
      </c>
      <c r="L396" t="inlineStr">
        <is>
          <t>2025-07-30 14:40:12.819 IST</t>
        </is>
      </c>
      <c r="M396" t="inlineStr">
        <is>
          <t>Aditya Chakraborty</t>
        </is>
      </c>
      <c r="N396" t="inlineStr">
        <is>
          <t>No</t>
        </is>
      </c>
      <c r="O396" t="inlineStr">
        <is>
          <t>Yes</t>
        </is>
      </c>
      <c r="P396" t="inlineStr">
        <is>
          <t>Soundariya B</t>
        </is>
      </c>
      <c r="Q396" t="inlineStr">
        <is>
          <t>Bad</t>
        </is>
      </c>
    </row>
    <row r="397">
      <c r="A397" t="inlineStr">
        <is>
          <t>aditya.c</t>
        </is>
      </c>
      <c r="B397" t="inlineStr">
        <is>
          <t>Aditya Chakraborty</t>
        </is>
      </c>
      <c r="C397" t="inlineStr">
        <is>
          <t>aditya.c@osmosys.co</t>
        </is>
      </c>
      <c r="D397" t="inlineStr">
        <is>
          <t>incident-reporter</t>
        </is>
      </c>
      <c r="E397">
        <f>HYPERLINK("http://gitlab.osmosys.co/incident-reporter/incident-reporter-angular-portal", "OQSHA Portal")</f>
        <v/>
      </c>
      <c r="F397">
        <f>HYPERLINK("http://gitlab.osmosys.co/incident-reporter/incident-reporter-angular-portal/-/merge_requests/3662", "fix: update logic to handle is manual flag")</f>
        <v/>
      </c>
      <c r="G397" t="inlineStr">
        <is>
          <t>fix/copy-is-manual</t>
        </is>
      </c>
      <c r="H397" t="inlineStr">
        <is>
          <t>sprint-18</t>
        </is>
      </c>
      <c r="I397" t="inlineStr">
        <is>
          <t>merged</t>
        </is>
      </c>
      <c r="J397" t="inlineStr">
        <is>
          <t>8df05db78371a031732873ddc15ad7e1aeafcd81</t>
        </is>
      </c>
      <c r="K397">
        <f>HYPERLINK("http://gitlab.osmosys.co/incident-reporter/incident-reporter-angular-portal/-/merge_requests/3662#note_244129", "Why is this change needed again here for the date? As this bug or change is not mentioned anywhere, neither in the bug/task nor PR description")</f>
        <v/>
      </c>
      <c r="L397" t="inlineStr">
        <is>
          <t>2025-07-30 12:29:21.046 IST</t>
        </is>
      </c>
      <c r="M397" t="inlineStr">
        <is>
          <t>Soundariya B</t>
        </is>
      </c>
      <c r="N397" t="inlineStr">
        <is>
          <t>Yes</t>
        </is>
      </c>
      <c r="O397" t="inlineStr">
        <is>
          <t>Yes</t>
        </is>
      </c>
      <c r="P397" t="inlineStr">
        <is>
          <t>Soundariya B</t>
        </is>
      </c>
      <c r="Q397" t="inlineStr">
        <is>
          <t>Bad</t>
        </is>
      </c>
    </row>
    <row r="398">
      <c r="A398" t="inlineStr">
        <is>
          <t>aditya.c</t>
        </is>
      </c>
      <c r="B398" t="inlineStr">
        <is>
          <t>Aditya Chakraborty</t>
        </is>
      </c>
      <c r="C398" t="inlineStr">
        <is>
          <t>aditya.c@osmosys.co</t>
        </is>
      </c>
      <c r="D398" t="inlineStr">
        <is>
          <t>incident-reporter</t>
        </is>
      </c>
      <c r="E398">
        <f>HYPERLINK("http://gitlab.osmosys.co/incident-reporter/incident-reporter-angular-portal", "OQSHA Portal")</f>
        <v/>
      </c>
      <c r="F398">
        <f>HYPERLINK("http://gitlab.osmosys.co/incident-reporter/incident-reporter-angular-portal/-/merge_requests/3662", "fix: update logic to handle is manual flag")</f>
        <v/>
      </c>
      <c r="G398" t="inlineStr">
        <is>
          <t>fix/copy-is-manual</t>
        </is>
      </c>
      <c r="H398" t="inlineStr">
        <is>
          <t>sprint-18</t>
        </is>
      </c>
      <c r="I398" t="inlineStr">
        <is>
          <t>merged</t>
        </is>
      </c>
      <c r="J398" t="inlineStr">
        <is>
          <t>8df05db78371a031732873ddc15ad7e1aeafcd81</t>
        </is>
      </c>
      <c r="K398">
        <f>HYPERLINK("http://gitlab.osmosys.co/incident-reporter/incident-reporter-angular-portal/-/merge_requests/3662#note_244245", "This is required as its causing an unusual error while raising a PTW via copy mode - I have added functionality video")</f>
        <v/>
      </c>
      <c r="L398" t="inlineStr">
        <is>
          <t>2025-07-30 14:40:42.927 IST</t>
        </is>
      </c>
      <c r="M398" t="inlineStr">
        <is>
          <t>Aditya Chakraborty</t>
        </is>
      </c>
      <c r="N398" t="inlineStr">
        <is>
          <t>No</t>
        </is>
      </c>
      <c r="O398" t="inlineStr">
        <is>
          <t>Yes</t>
        </is>
      </c>
      <c r="P398" t="inlineStr">
        <is>
          <t>Soundariya B</t>
        </is>
      </c>
      <c r="Q398" t="inlineStr">
        <is>
          <t>Bad</t>
        </is>
      </c>
    </row>
    <row r="399">
      <c r="A399" t="inlineStr">
        <is>
          <t>aditya.c</t>
        </is>
      </c>
      <c r="B399" t="inlineStr">
        <is>
          <t>Aditya Chakraborty</t>
        </is>
      </c>
      <c r="C399" t="inlineStr">
        <is>
          <t>aditya.c@osmosys.co</t>
        </is>
      </c>
      <c r="D399" t="inlineStr">
        <is>
          <t>incident-reporter</t>
        </is>
      </c>
      <c r="E399">
        <f>HYPERLINK("http://gitlab.osmosys.co/incident-reporter/incident-reporter-angular-portal", "OQSHA Portal")</f>
        <v/>
      </c>
      <c r="F399">
        <f>HYPERLINK("http://gitlab.osmosys.co/incident-reporter/incident-reporter-angular-portal/-/merge_requests/3659", "fix: update subchecks related labels for ttk specific lang file")</f>
        <v/>
      </c>
      <c r="G399" t="inlineStr">
        <is>
          <t>fix/update-ttk-subcheck-label</t>
        </is>
      </c>
      <c r="H399" t="inlineStr">
        <is>
          <t>sprint-18</t>
        </is>
      </c>
      <c r="I399" t="inlineStr">
        <is>
          <t>merged</t>
        </is>
      </c>
      <c r="J399" t="inlineStr"/>
      <c r="K399" t="inlineStr"/>
      <c r="L399" t="inlineStr"/>
      <c r="M399" t="inlineStr"/>
      <c r="N399" t="inlineStr"/>
      <c r="O399" t="inlineStr"/>
      <c r="P399" t="inlineStr"/>
      <c r="Q399" t="inlineStr"/>
    </row>
    <row r="400">
      <c r="A400" t="inlineStr">
        <is>
          <t>aditya.c</t>
        </is>
      </c>
      <c r="B400" t="inlineStr">
        <is>
          <t>Aditya Chakraborty</t>
        </is>
      </c>
      <c r="C400" t="inlineStr">
        <is>
          <t>aditya.c@osmosys.co</t>
        </is>
      </c>
      <c r="D400" t="inlineStr">
        <is>
          <t>incident-reporter</t>
        </is>
      </c>
      <c r="E400">
        <f>HYPERLINK("http://gitlab.osmosys.co/incident-reporter/incident-reporter-angular-portal", "OQSHA Portal")</f>
        <v/>
      </c>
      <c r="F400">
        <f>HYPERLINK("http://gitlab.osmosys.co/incident-reporter/incident-reporter-angular-portal/-/merge_requests/3657", "feat: reposition accordions on edit pssr page")</f>
        <v/>
      </c>
      <c r="G400" t="inlineStr">
        <is>
          <t>feat/reposition-accordions</t>
        </is>
      </c>
      <c r="H400" t="inlineStr">
        <is>
          <t>sprint-18</t>
        </is>
      </c>
      <c r="I400" t="inlineStr">
        <is>
          <t>merged</t>
        </is>
      </c>
      <c r="J400" t="inlineStr"/>
      <c r="K400" t="inlineStr"/>
      <c r="L400" t="inlineStr"/>
      <c r="M400" t="inlineStr"/>
      <c r="N400" t="inlineStr"/>
      <c r="O400" t="inlineStr"/>
      <c r="P400" t="inlineStr"/>
      <c r="Q400" t="inlineStr"/>
    </row>
    <row r="401">
      <c r="A401" t="inlineStr">
        <is>
          <t>aditya.c</t>
        </is>
      </c>
      <c r="B401" t="inlineStr">
        <is>
          <t>Aditya Chakraborty</t>
        </is>
      </c>
      <c r="C401" t="inlineStr">
        <is>
          <t>aditya.c@osmosys.co</t>
        </is>
      </c>
      <c r="D401" t="inlineStr">
        <is>
          <t>incident-reporter</t>
        </is>
      </c>
      <c r="E401">
        <f>HYPERLINK("http://gitlab.osmosys.co/incident-reporter/incident-reporter-angular-portal", "OQSHA Portal")</f>
        <v/>
      </c>
      <c r="F401">
        <f>HYPERLINK("http://gitlab.osmosys.co/incident-reporter/incident-reporter-angular-portal/-/merge_requests/3656", "fix: update audit sections ui (sprint-19)")</f>
        <v/>
      </c>
      <c r="G401" t="inlineStr">
        <is>
          <t>feat/update-audit-config-ui</t>
        </is>
      </c>
      <c r="H401" t="inlineStr">
        <is>
          <t>sprint-19</t>
        </is>
      </c>
      <c r="I401" t="inlineStr">
        <is>
          <t>merged</t>
        </is>
      </c>
      <c r="J401" t="inlineStr">
        <is>
          <t>b2e6398171b5d122d807b890efdab1659788531d</t>
        </is>
      </c>
      <c r="K401">
        <f>HYPERLINK("http://gitlab.osmosys.co/incident-reporter/incident-reporter-angular-portal/-/merge_requests/3656#note_245931", "* It should be Add standalone checks
* Standalone checks Mandatory is not align with section Mandatory field it should move a bit right to left
![image.png](/uploads/ecaac1ca63864df07f5c20da91842d5a/image.png)")</f>
        <v/>
      </c>
      <c r="L401" t="inlineStr">
        <is>
          <t>2025-08-02 03:15:52.350 IST</t>
        </is>
      </c>
      <c r="M401" t="inlineStr">
        <is>
          <t>Soundariya B</t>
        </is>
      </c>
      <c r="N401" t="inlineStr">
        <is>
          <t>Yes</t>
        </is>
      </c>
      <c r="O401" t="inlineStr">
        <is>
          <t>Yes</t>
        </is>
      </c>
      <c r="P401" t="inlineStr">
        <is>
          <t>Soundariya B</t>
        </is>
      </c>
      <c r="Q401" t="inlineStr">
        <is>
          <t>Bad</t>
        </is>
      </c>
    </row>
    <row r="402">
      <c r="A402" t="inlineStr">
        <is>
          <t>aditya.c</t>
        </is>
      </c>
      <c r="B402" t="inlineStr">
        <is>
          <t>Aditya Chakraborty</t>
        </is>
      </c>
      <c r="C402" t="inlineStr">
        <is>
          <t>aditya.c@osmosys.co</t>
        </is>
      </c>
      <c r="D402" t="inlineStr">
        <is>
          <t>incident-reporter</t>
        </is>
      </c>
      <c r="E402">
        <f>HYPERLINK("http://gitlab.osmosys.co/incident-reporter/incident-reporter-angular-portal", "OQSHA Portal")</f>
        <v/>
      </c>
      <c r="F402">
        <f>HYPERLINK("http://gitlab.osmosys.co/incident-reporter/incident-reporter-angular-portal/-/merge_requests/3656", "fix: update audit sections ui (sprint-19)")</f>
        <v/>
      </c>
      <c r="G402" t="inlineStr">
        <is>
          <t>feat/update-audit-config-ui</t>
        </is>
      </c>
      <c r="H402" t="inlineStr">
        <is>
          <t>sprint-19</t>
        </is>
      </c>
      <c r="I402" t="inlineStr">
        <is>
          <t>merged</t>
        </is>
      </c>
      <c r="J402" t="inlineStr">
        <is>
          <t>b2e6398171b5d122d807b890efdab1659788531d</t>
        </is>
      </c>
      <c r="K402">
        <f>HYPERLINK("http://gitlab.osmosys.co/incident-reporter/incident-reporter-angular-portal/-/merge_requests/3656#note_246011", "![image](/uploads/15e86fc7d49a3e342f6bfec4d14b294b/image.png){width=1439 height=741}
I have followed exact implementation of MOC category as mentioned in the task by MS")</f>
        <v/>
      </c>
      <c r="L402" t="inlineStr">
        <is>
          <t>2025-08-02 10:18:56.395 IST</t>
        </is>
      </c>
      <c r="M402" t="inlineStr">
        <is>
          <t>Aditya Chakraborty</t>
        </is>
      </c>
      <c r="N402" t="inlineStr">
        <is>
          <t>No</t>
        </is>
      </c>
      <c r="O402" t="inlineStr">
        <is>
          <t>Yes</t>
        </is>
      </c>
      <c r="P402" t="inlineStr">
        <is>
          <t>Soundariya B</t>
        </is>
      </c>
      <c r="Q402" t="inlineStr">
        <is>
          <t>Bad</t>
        </is>
      </c>
    </row>
    <row r="403">
      <c r="A403" t="inlineStr">
        <is>
          <t>aditya.c</t>
        </is>
      </c>
      <c r="B403" t="inlineStr">
        <is>
          <t>Aditya Chakraborty</t>
        </is>
      </c>
      <c r="C403" t="inlineStr">
        <is>
          <t>aditya.c@osmosys.co</t>
        </is>
      </c>
      <c r="D403" t="inlineStr">
        <is>
          <t>incident-reporter</t>
        </is>
      </c>
      <c r="E403">
        <f>HYPERLINK("http://gitlab.osmosys.co/incident-reporter/incident-reporter-angular-portal", "OQSHA Portal")</f>
        <v/>
      </c>
      <c r="F403">
        <f>HYPERLINK("http://gitlab.osmosys.co/incident-reporter/incident-reporter-angular-portal/-/merge_requests/3656", "fix: update audit sections ui (sprint-19)")</f>
        <v/>
      </c>
      <c r="G403" t="inlineStr">
        <is>
          <t>feat/update-audit-config-ui</t>
        </is>
      </c>
      <c r="H403" t="inlineStr">
        <is>
          <t>sprint-19</t>
        </is>
      </c>
      <c r="I403" t="inlineStr">
        <is>
          <t>merged</t>
        </is>
      </c>
      <c r="J403" t="inlineStr">
        <is>
          <t>b2e6398171b5d122d807b890efdab1659788531d</t>
        </is>
      </c>
      <c r="K403">
        <f>HYPERLINK("http://gitlab.osmosys.co/incident-reporter/incident-reporter-angular-portal/-/merge_requests/3656#note_246438", "* The button should be 'Add standalone checks' -- NOT YET FIXED
* Standalone checks Mandatory is not align with section Mandatory field it should move a bit right to left -- NOW IT'S FINE")</f>
        <v/>
      </c>
      <c r="L403" t="inlineStr">
        <is>
          <t>2025-08-02 17:51:29.646 IST</t>
        </is>
      </c>
      <c r="M403" t="inlineStr">
        <is>
          <t>Soundariya B</t>
        </is>
      </c>
      <c r="N403" t="inlineStr">
        <is>
          <t>Yes</t>
        </is>
      </c>
      <c r="O403" t="inlineStr">
        <is>
          <t>Yes</t>
        </is>
      </c>
      <c r="P403" t="inlineStr">
        <is>
          <t>Soundariya B</t>
        </is>
      </c>
      <c r="Q403" t="inlineStr">
        <is>
          <t>Bad</t>
        </is>
      </c>
    </row>
    <row r="404">
      <c r="A404" t="inlineStr">
        <is>
          <t>aditya.c</t>
        </is>
      </c>
      <c r="B404" t="inlineStr">
        <is>
          <t>Aditya Chakraborty</t>
        </is>
      </c>
      <c r="C404" t="inlineStr">
        <is>
          <t>aditya.c@osmosys.co</t>
        </is>
      </c>
      <c r="D404" t="inlineStr">
        <is>
          <t>incident-reporter</t>
        </is>
      </c>
      <c r="E404">
        <f>HYPERLINK("http://gitlab.osmosys.co/incident-reporter/incident-reporter-angular-portal", "OQSHA Portal")</f>
        <v/>
      </c>
      <c r="F404">
        <f>HYPERLINK("http://gitlab.osmosys.co/incident-reporter/incident-reporter-angular-portal/-/merge_requests/3656", "fix: update audit sections ui (sprint-19)")</f>
        <v/>
      </c>
      <c r="G404" t="inlineStr">
        <is>
          <t>feat/update-audit-config-ui</t>
        </is>
      </c>
      <c r="H404" t="inlineStr">
        <is>
          <t>sprint-19</t>
        </is>
      </c>
      <c r="I404" t="inlineStr">
        <is>
          <t>merged</t>
        </is>
      </c>
      <c r="J404" t="inlineStr">
        <is>
          <t>b2e6398171b5d122d807b890efdab1659788531d</t>
        </is>
      </c>
      <c r="K404">
        <f>HYPERLINK("http://gitlab.osmosys.co/incident-reporter/incident-reporter-angular-portal/-/merge_requests/3656#note_246441", "![image](/uploads/19a67d757dc0329d13c8df72621fc5a0/image.png){width=1435 height=683}")</f>
        <v/>
      </c>
      <c r="L404" t="inlineStr">
        <is>
          <t>2025-08-02 17:55:44.956 IST</t>
        </is>
      </c>
      <c r="M404" t="inlineStr">
        <is>
          <t>Aditya Chakraborty</t>
        </is>
      </c>
      <c r="N404" t="inlineStr">
        <is>
          <t>No</t>
        </is>
      </c>
      <c r="O404" t="inlineStr">
        <is>
          <t>Yes</t>
        </is>
      </c>
      <c r="P404" t="inlineStr">
        <is>
          <t>Soundariya B</t>
        </is>
      </c>
      <c r="Q404" t="inlineStr">
        <is>
          <t>Bad</t>
        </is>
      </c>
    </row>
    <row r="405">
      <c r="A405" t="inlineStr">
        <is>
          <t>aditya.c</t>
        </is>
      </c>
      <c r="B405" t="inlineStr">
        <is>
          <t>Aditya Chakraborty</t>
        </is>
      </c>
      <c r="C405" t="inlineStr">
        <is>
          <t>aditya.c@osmosys.co</t>
        </is>
      </c>
      <c r="D405" t="inlineStr">
        <is>
          <t>incident-reporter</t>
        </is>
      </c>
      <c r="E405">
        <f>HYPERLINK("http://gitlab.osmosys.co/incident-reporter/incident-reporter-angular-portal", "OQSHA Portal")</f>
        <v/>
      </c>
      <c r="F405">
        <f>HYPERLINK("http://gitlab.osmosys.co/incident-reporter/incident-reporter-angular-portal/-/merge_requests/3656", "fix: update audit sections ui (sprint-19)")</f>
        <v/>
      </c>
      <c r="G405" t="inlineStr">
        <is>
          <t>feat/update-audit-config-ui</t>
        </is>
      </c>
      <c r="H405" t="inlineStr">
        <is>
          <t>sprint-19</t>
        </is>
      </c>
      <c r="I405" t="inlineStr">
        <is>
          <t>merged</t>
        </is>
      </c>
      <c r="J405" t="inlineStr">
        <is>
          <t>2380d58a3d98e51ca462bd8c5818471528accee2</t>
        </is>
      </c>
      <c r="K405">
        <f>HYPERLINK("http://gitlab.osmosys.co/incident-reporter/incident-reporter-angular-portal/-/merge_requests/3656#note_245932", "* Standalone number the input field is missing
* For date field the year is not visible and cutting off
![image.png](/uploads/46bda7536ae84ba01b11bcd3c60952bd/image.png)")</f>
        <v/>
      </c>
      <c r="L405" t="inlineStr">
        <is>
          <t>2025-08-02 03:15:52.389 IST</t>
        </is>
      </c>
      <c r="M405" t="inlineStr">
        <is>
          <t>Soundariya B</t>
        </is>
      </c>
      <c r="N405" t="inlineStr">
        <is>
          <t>Yes</t>
        </is>
      </c>
      <c r="O405" t="inlineStr">
        <is>
          <t>Yes</t>
        </is>
      </c>
      <c r="P405" t="inlineStr">
        <is>
          <t>Soundariya B</t>
        </is>
      </c>
      <c r="Q405" t="inlineStr">
        <is>
          <t>Bad</t>
        </is>
      </c>
    </row>
    <row r="406">
      <c r="A406" t="inlineStr">
        <is>
          <t>aditya.c</t>
        </is>
      </c>
      <c r="B406" t="inlineStr">
        <is>
          <t>Aditya Chakraborty</t>
        </is>
      </c>
      <c r="C406" t="inlineStr">
        <is>
          <t>aditya.c@osmosys.co</t>
        </is>
      </c>
      <c r="D406" t="inlineStr">
        <is>
          <t>incident-reporter</t>
        </is>
      </c>
      <c r="E406">
        <f>HYPERLINK("http://gitlab.osmosys.co/incident-reporter/incident-reporter-angular-portal", "OQSHA Portal")</f>
        <v/>
      </c>
      <c r="F406">
        <f>HYPERLINK("http://gitlab.osmosys.co/incident-reporter/incident-reporter-angular-portal/-/merge_requests/3656", "fix: update audit sections ui (sprint-19)")</f>
        <v/>
      </c>
      <c r="G406" t="inlineStr">
        <is>
          <t>feat/update-audit-config-ui</t>
        </is>
      </c>
      <c r="H406" t="inlineStr">
        <is>
          <t>sprint-19</t>
        </is>
      </c>
      <c r="I406" t="inlineStr">
        <is>
          <t>merged</t>
        </is>
      </c>
      <c r="J406" t="inlineStr">
        <is>
          <t>2380d58a3d98e51ca462bd8c5818471528accee2</t>
        </is>
      </c>
      <c r="K406">
        <f>HYPERLINK("http://gitlab.osmosys.co/incident-reporter/incident-reporter-angular-portal/-/merge_requests/3656#note_246086", "Updated SS - that was old SS, it was not handled previously")</f>
        <v/>
      </c>
      <c r="L406" t="inlineStr">
        <is>
          <t>2025-08-02 11:48:48.534 IST</t>
        </is>
      </c>
      <c r="M406" t="inlineStr">
        <is>
          <t>Aditya Chakraborty</t>
        </is>
      </c>
      <c r="N406" t="inlineStr">
        <is>
          <t>No</t>
        </is>
      </c>
      <c r="O406" t="inlineStr">
        <is>
          <t>Yes</t>
        </is>
      </c>
      <c r="P406" t="inlineStr">
        <is>
          <t>Soundariya B</t>
        </is>
      </c>
      <c r="Q406" t="inlineStr">
        <is>
          <t>Bad</t>
        </is>
      </c>
    </row>
    <row r="407">
      <c r="A407" t="inlineStr">
        <is>
          <t>aditya.c</t>
        </is>
      </c>
      <c r="B407" t="inlineStr">
        <is>
          <t>Aditya Chakraborty</t>
        </is>
      </c>
      <c r="C407" t="inlineStr">
        <is>
          <t>aditya.c@osmosys.co</t>
        </is>
      </c>
      <c r="D407" t="inlineStr">
        <is>
          <t>incident-reporter</t>
        </is>
      </c>
      <c r="E407">
        <f>HYPERLINK("http://gitlab.osmosys.co/incident-reporter/incident-reporter-angular-portal", "OQSHA Portal")</f>
        <v/>
      </c>
      <c r="F407">
        <f>HYPERLINK("http://gitlab.osmosys.co/incident-reporter/incident-reporter-angular-portal/-/merge_requests/3656", "fix: update audit sections ui (sprint-19)")</f>
        <v/>
      </c>
      <c r="G407" t="inlineStr">
        <is>
          <t>feat/update-audit-config-ui</t>
        </is>
      </c>
      <c r="H407" t="inlineStr">
        <is>
          <t>sprint-19</t>
        </is>
      </c>
      <c r="I407" t="inlineStr">
        <is>
          <t>merged</t>
        </is>
      </c>
      <c r="J407" t="inlineStr">
        <is>
          <t>8e40ee6b955901030de67b0484a03dcda8bbfbfd</t>
        </is>
      </c>
      <c r="K407">
        <f>HYPERLINK("http://gitlab.osmosys.co/incident-reporter/incident-reporter-angular-portal/-/merge_requests/3656#note_245933", "Please use proper variable for indexing instead of i, j, k")</f>
        <v/>
      </c>
      <c r="L407" t="inlineStr">
        <is>
          <t>2025-08-02 03:15:52.460 IST</t>
        </is>
      </c>
      <c r="M407" t="inlineStr">
        <is>
          <t>Soundariya B</t>
        </is>
      </c>
      <c r="N407" t="inlineStr">
        <is>
          <t>Yes</t>
        </is>
      </c>
      <c r="O407" t="inlineStr">
        <is>
          <t>Yes</t>
        </is>
      </c>
      <c r="P407" t="inlineStr">
        <is>
          <t>Soundariya B</t>
        </is>
      </c>
      <c r="Q407" t="inlineStr">
        <is>
          <t>Bad</t>
        </is>
      </c>
    </row>
    <row r="408">
      <c r="A408" t="inlineStr">
        <is>
          <t>aditya.c</t>
        </is>
      </c>
      <c r="B408" t="inlineStr">
        <is>
          <t>Aditya Chakraborty</t>
        </is>
      </c>
      <c r="C408" t="inlineStr">
        <is>
          <t>aditya.c@osmosys.co</t>
        </is>
      </c>
      <c r="D408" t="inlineStr">
        <is>
          <t>incident-reporter</t>
        </is>
      </c>
      <c r="E408">
        <f>HYPERLINK("http://gitlab.osmosys.co/incident-reporter/incident-reporter-angular-portal", "OQSHA Portal")</f>
        <v/>
      </c>
      <c r="F408">
        <f>HYPERLINK("http://gitlab.osmosys.co/incident-reporter/incident-reporter-angular-portal/-/merge_requests/3656", "fix: update audit sections ui (sprint-19)")</f>
        <v/>
      </c>
      <c r="G408" t="inlineStr">
        <is>
          <t>feat/update-audit-config-ui</t>
        </is>
      </c>
      <c r="H408" t="inlineStr">
        <is>
          <t>sprint-19</t>
        </is>
      </c>
      <c r="I408" t="inlineStr">
        <is>
          <t>merged</t>
        </is>
      </c>
      <c r="J408" t="inlineStr">
        <is>
          <t>c04bf63f18e2849a31f09a6146d1491980ed3039</t>
        </is>
      </c>
      <c r="K408">
        <f>HYPERLINK("http://gitlab.osmosys.co/incident-reporter/incident-reporter-angular-portal/-/merge_requests/3656#note_245934", "Get the hardcoded section type value from constant file - fix it everywhere")</f>
        <v/>
      </c>
      <c r="L408" t="inlineStr">
        <is>
          <t>2025-08-02 03:15:52.552 IST</t>
        </is>
      </c>
      <c r="M408" t="inlineStr">
        <is>
          <t>Soundariya B</t>
        </is>
      </c>
      <c r="N408" t="inlineStr">
        <is>
          <t>Yes</t>
        </is>
      </c>
      <c r="O408" t="inlineStr">
        <is>
          <t>Yes</t>
        </is>
      </c>
      <c r="P408" t="inlineStr">
        <is>
          <t>Soundariya B</t>
        </is>
      </c>
      <c r="Q408" t="inlineStr">
        <is>
          <t>Bad</t>
        </is>
      </c>
    </row>
    <row r="409">
      <c r="A409" t="inlineStr">
        <is>
          <t>aditya.c</t>
        </is>
      </c>
      <c r="B409" t="inlineStr">
        <is>
          <t>Aditya Chakraborty</t>
        </is>
      </c>
      <c r="C409" t="inlineStr">
        <is>
          <t>aditya.c@osmosys.co</t>
        </is>
      </c>
      <c r="D409" t="inlineStr">
        <is>
          <t>incident-reporter</t>
        </is>
      </c>
      <c r="E409">
        <f>HYPERLINK("http://gitlab.osmosys.co/incident-reporter/incident-reporter-angular-portal", "OQSHA Portal")</f>
        <v/>
      </c>
      <c r="F409">
        <f>HYPERLINK("http://gitlab.osmosys.co/incident-reporter/incident-reporter-angular-portal/-/merge_requests/3656", "fix: update audit sections ui (sprint-19)")</f>
        <v/>
      </c>
      <c r="G409" t="inlineStr">
        <is>
          <t>feat/update-audit-config-ui</t>
        </is>
      </c>
      <c r="H409" t="inlineStr">
        <is>
          <t>sprint-19</t>
        </is>
      </c>
      <c r="I409" t="inlineStr">
        <is>
          <t>merged</t>
        </is>
      </c>
      <c r="J409" t="inlineStr">
        <is>
          <t>479933203d251554f2ad6d6e9aba88073678662f</t>
        </is>
      </c>
      <c r="K409">
        <f>HYPERLINK("http://gitlab.osmosys.co/incident-reporter/incident-reporter-angular-portal/-/merge_requests/3656#note_245935", "Get the hardcoded section type value from constant file - fix it everywhere")</f>
        <v/>
      </c>
      <c r="L409" t="inlineStr">
        <is>
          <t>2025-08-02 03:15:52.603 IST</t>
        </is>
      </c>
      <c r="M409" t="inlineStr">
        <is>
          <t>Soundariya B</t>
        </is>
      </c>
      <c r="N409" t="inlineStr">
        <is>
          <t>Yes</t>
        </is>
      </c>
      <c r="O409" t="inlineStr">
        <is>
          <t>Yes</t>
        </is>
      </c>
      <c r="P409" t="inlineStr">
        <is>
          <t>Soundariya B</t>
        </is>
      </c>
      <c r="Q409" t="inlineStr">
        <is>
          <t>Bad</t>
        </is>
      </c>
    </row>
    <row r="410">
      <c r="A410" t="inlineStr">
        <is>
          <t>aditya.c</t>
        </is>
      </c>
      <c r="B410" t="inlineStr">
        <is>
          <t>Aditya Chakraborty</t>
        </is>
      </c>
      <c r="C410" t="inlineStr">
        <is>
          <t>aditya.c@osmosys.co</t>
        </is>
      </c>
      <c r="D410" t="inlineStr">
        <is>
          <t>incident-reporter</t>
        </is>
      </c>
      <c r="E410">
        <f>HYPERLINK("http://gitlab.osmosys.co/incident-reporter/incident-reporter-angular-portal", "OQSHA Portal")</f>
        <v/>
      </c>
      <c r="F410">
        <f>HYPERLINK("http://gitlab.osmosys.co/incident-reporter/incident-reporter-angular-portal/-/merge_requests/3656", "fix: update audit sections ui (sprint-19)")</f>
        <v/>
      </c>
      <c r="G410" t="inlineStr">
        <is>
          <t>feat/update-audit-config-ui</t>
        </is>
      </c>
      <c r="H410" t="inlineStr">
        <is>
          <t>sprint-19</t>
        </is>
      </c>
      <c r="I410" t="inlineStr">
        <is>
          <t>merged</t>
        </is>
      </c>
      <c r="J410" t="inlineStr">
        <is>
          <t>f1de5940ead9ed98b61b1fd129743d85c29e09bd</t>
        </is>
      </c>
      <c r="K410">
        <f>HYPERLINK("http://gitlab.osmosys.co/incident-reporter/incident-reporter-angular-portal/-/merge_requests/3656#note_245936", "Remove this")</f>
        <v/>
      </c>
      <c r="L410" t="inlineStr">
        <is>
          <t>2025-08-02 03:15:52.680 IST</t>
        </is>
      </c>
      <c r="M410" t="inlineStr">
        <is>
          <t>Soundariya B</t>
        </is>
      </c>
      <c r="N410" t="inlineStr">
        <is>
          <t>Yes</t>
        </is>
      </c>
      <c r="O410" t="inlineStr">
        <is>
          <t>Yes</t>
        </is>
      </c>
      <c r="P410" t="inlineStr">
        <is>
          <t>Soundariya B</t>
        </is>
      </c>
      <c r="Q410" t="inlineStr">
        <is>
          <t>Bad</t>
        </is>
      </c>
    </row>
    <row r="411">
      <c r="A411" t="inlineStr">
        <is>
          <t>aditya.c</t>
        </is>
      </c>
      <c r="B411" t="inlineStr">
        <is>
          <t>Aditya Chakraborty</t>
        </is>
      </c>
      <c r="C411" t="inlineStr">
        <is>
          <t>aditya.c@osmosys.co</t>
        </is>
      </c>
      <c r="D411" t="inlineStr">
        <is>
          <t>incident-reporter</t>
        </is>
      </c>
      <c r="E411">
        <f>HYPERLINK("http://gitlab.osmosys.co/incident-reporter/incident-reporter-angular-portal", "OQSHA Portal")</f>
        <v/>
      </c>
      <c r="F411">
        <f>HYPERLINK("http://gitlab.osmosys.co/incident-reporter/incident-reporter-angular-portal/-/merge_requests/3656", "fix: update audit sections ui (sprint-19)")</f>
        <v/>
      </c>
      <c r="G411" t="inlineStr">
        <is>
          <t>feat/update-audit-config-ui</t>
        </is>
      </c>
      <c r="H411" t="inlineStr">
        <is>
          <t>sprint-19</t>
        </is>
      </c>
      <c r="I411" t="inlineStr">
        <is>
          <t>merged</t>
        </is>
      </c>
      <c r="J411" t="inlineStr">
        <is>
          <t>5891ecb40a8f34e25dfde5118835c98ea4ba19b4</t>
        </is>
      </c>
      <c r="K411">
        <f>HYPERLINK("http://gitlab.osmosys.co/incident-reporter/incident-reporter-angular-portal/-/merge_requests/3656#note_245937", "PTW_CONFIG instead of this please take all lang label keys from audit object")</f>
        <v/>
      </c>
      <c r="L411" t="inlineStr">
        <is>
          <t>2025-08-02 03:15:52.745 IST</t>
        </is>
      </c>
      <c r="M411" t="inlineStr">
        <is>
          <t>Soundariya B</t>
        </is>
      </c>
      <c r="N411" t="inlineStr">
        <is>
          <t>Yes</t>
        </is>
      </c>
      <c r="O411" t="inlineStr">
        <is>
          <t>Yes</t>
        </is>
      </c>
      <c r="P411" t="inlineStr">
        <is>
          <t>Soundariya B</t>
        </is>
      </c>
      <c r="Q411" t="inlineStr">
        <is>
          <t>Bad</t>
        </is>
      </c>
    </row>
    <row r="412">
      <c r="A412" t="inlineStr">
        <is>
          <t>aditya.c</t>
        </is>
      </c>
      <c r="B412" t="inlineStr">
        <is>
          <t>Aditya Chakraborty</t>
        </is>
      </c>
      <c r="C412" t="inlineStr">
        <is>
          <t>aditya.c@osmosys.co</t>
        </is>
      </c>
      <c r="D412" t="inlineStr">
        <is>
          <t>incident-reporter</t>
        </is>
      </c>
      <c r="E412">
        <f>HYPERLINK("http://gitlab.osmosys.co/incident-reporter/incident-reporter-angular-portal", "OQSHA Portal")</f>
        <v/>
      </c>
      <c r="F412">
        <f>HYPERLINK("http://gitlab.osmosys.co/incident-reporter/incident-reporter-angular-portal/-/merge_requests/3656", "fix: update audit sections ui (sprint-19)")</f>
        <v/>
      </c>
      <c r="G412" t="inlineStr">
        <is>
          <t>feat/update-audit-config-ui</t>
        </is>
      </c>
      <c r="H412" t="inlineStr">
        <is>
          <t>sprint-19</t>
        </is>
      </c>
      <c r="I412" t="inlineStr">
        <is>
          <t>merged</t>
        </is>
      </c>
      <c r="J412" t="inlineStr">
        <is>
          <t>c079f86de21ec2a4b8c669398549f4842ae04c36</t>
        </is>
      </c>
      <c r="K412">
        <f>HYPERLINK("http://gitlab.osmosys.co/incident-reporter/incident-reporter-angular-portal/-/merge_requests/3656#note_245938", "Get these from TS file, this much expression and conditions are not best practice please fix it
And get the 3,2 etc magic values from constant file")</f>
        <v/>
      </c>
      <c r="L412" t="inlineStr">
        <is>
          <t>2025-08-02 03:15:52.812 IST</t>
        </is>
      </c>
      <c r="M412" t="inlineStr">
        <is>
          <t>Soundariya B</t>
        </is>
      </c>
      <c r="N412" t="inlineStr">
        <is>
          <t>Yes</t>
        </is>
      </c>
      <c r="O412" t="inlineStr">
        <is>
          <t>Yes</t>
        </is>
      </c>
      <c r="P412" t="inlineStr">
        <is>
          <t>Soundariya B</t>
        </is>
      </c>
      <c r="Q412" t="inlineStr">
        <is>
          <t>Bad</t>
        </is>
      </c>
    </row>
    <row r="413">
      <c r="A413" t="inlineStr">
        <is>
          <t>aditya.c</t>
        </is>
      </c>
      <c r="B413" t="inlineStr">
        <is>
          <t>Aditya Chakraborty</t>
        </is>
      </c>
      <c r="C413" t="inlineStr">
        <is>
          <t>aditya.c@osmosys.co</t>
        </is>
      </c>
      <c r="D413" t="inlineStr">
        <is>
          <t>incident-reporter</t>
        </is>
      </c>
      <c r="E413">
        <f>HYPERLINK("http://gitlab.osmosys.co/incident-reporter/incident-reporter-angular-portal", "OQSHA Portal")</f>
        <v/>
      </c>
      <c r="F413">
        <f>HYPERLINK("http://gitlab.osmosys.co/incident-reporter/incident-reporter-angular-portal/-/merge_requests/3656", "fix: update audit sections ui (sprint-19)")</f>
        <v/>
      </c>
      <c r="G413" t="inlineStr">
        <is>
          <t>feat/update-audit-config-ui</t>
        </is>
      </c>
      <c r="H413" t="inlineStr">
        <is>
          <t>sprint-19</t>
        </is>
      </c>
      <c r="I413" t="inlineStr">
        <is>
          <t>merged</t>
        </is>
      </c>
      <c r="J413" t="inlineStr">
        <is>
          <t>c13968cbd4ebbd82811454e91fac531aff69ccce</t>
        </is>
      </c>
      <c r="K413">
        <f>HYPERLINK("http://gitlab.osmosys.co/incident-reporter/incident-reporter-angular-portal/-/merge_requests/3656#note_245939", "Same here")</f>
        <v/>
      </c>
      <c r="L413" t="inlineStr">
        <is>
          <t>2025-08-02 03:15:52.882 IST</t>
        </is>
      </c>
      <c r="M413" t="inlineStr">
        <is>
          <t>Soundariya B</t>
        </is>
      </c>
      <c r="N413" t="inlineStr">
        <is>
          <t>Yes</t>
        </is>
      </c>
      <c r="O413" t="inlineStr">
        <is>
          <t>Yes</t>
        </is>
      </c>
      <c r="P413" t="inlineStr">
        <is>
          <t>Soundariya B</t>
        </is>
      </c>
      <c r="Q413" t="inlineStr">
        <is>
          <t>Bad</t>
        </is>
      </c>
    </row>
    <row r="414">
      <c r="A414" t="inlineStr">
        <is>
          <t>aditya.c</t>
        </is>
      </c>
      <c r="B414" t="inlineStr">
        <is>
          <t>Aditya Chakraborty</t>
        </is>
      </c>
      <c r="C414" t="inlineStr">
        <is>
          <t>aditya.c@osmosys.co</t>
        </is>
      </c>
      <c r="D414" t="inlineStr">
        <is>
          <t>incident-reporter</t>
        </is>
      </c>
      <c r="E414">
        <f>HYPERLINK("http://gitlab.osmosys.co/incident-reporter/incident-reporter-angular-portal", "OQSHA Portal")</f>
        <v/>
      </c>
      <c r="F414">
        <f>HYPERLINK("http://gitlab.osmosys.co/incident-reporter/incident-reporter-angular-portal/-/merge_requests/3656", "fix: update audit sections ui (sprint-19)")</f>
        <v/>
      </c>
      <c r="G414" t="inlineStr">
        <is>
          <t>feat/update-audit-config-ui</t>
        </is>
      </c>
      <c r="H414" t="inlineStr">
        <is>
          <t>sprint-19</t>
        </is>
      </c>
      <c r="I414" t="inlineStr">
        <is>
          <t>merged</t>
        </is>
      </c>
      <c r="J414" t="inlineStr">
        <is>
          <t>c13968cbd4ebbd82811454e91fac531aff69ccce</t>
        </is>
      </c>
      <c r="K414">
        <f>HYPERLINK("http://gitlab.osmosys.co/incident-reporter/incident-reporter-angular-portal/-/merge_requests/3656#note_246094", "Updated")</f>
        <v/>
      </c>
      <c r="L414" t="inlineStr">
        <is>
          <t>2025-08-02 12:03:44.615 IST</t>
        </is>
      </c>
      <c r="M414" t="inlineStr">
        <is>
          <t>Aditya Chakraborty</t>
        </is>
      </c>
      <c r="N414" t="inlineStr">
        <is>
          <t>No</t>
        </is>
      </c>
      <c r="O414" t="inlineStr">
        <is>
          <t>Yes</t>
        </is>
      </c>
      <c r="P414" t="inlineStr">
        <is>
          <t>Soundariya B</t>
        </is>
      </c>
      <c r="Q414" t="inlineStr">
        <is>
          <t>Bad</t>
        </is>
      </c>
    </row>
    <row r="415">
      <c r="A415" t="inlineStr">
        <is>
          <t>aditya.c</t>
        </is>
      </c>
      <c r="B415" t="inlineStr">
        <is>
          <t>Aditya Chakraborty</t>
        </is>
      </c>
      <c r="C415" t="inlineStr">
        <is>
          <t>aditya.c@osmosys.co</t>
        </is>
      </c>
      <c r="D415" t="inlineStr">
        <is>
          <t>incident-reporter</t>
        </is>
      </c>
      <c r="E415">
        <f>HYPERLINK("http://gitlab.osmosys.co/incident-reporter/incident-reporter-angular-portal", "OQSHA Portal")</f>
        <v/>
      </c>
      <c r="F415">
        <f>HYPERLINK("http://gitlab.osmosys.co/incident-reporter/incident-reporter-angular-portal/-/merge_requests/3656", "fix: update audit sections ui (sprint-19)")</f>
        <v/>
      </c>
      <c r="G415" t="inlineStr">
        <is>
          <t>feat/update-audit-config-ui</t>
        </is>
      </c>
      <c r="H415" t="inlineStr">
        <is>
          <t>sprint-19</t>
        </is>
      </c>
      <c r="I415" t="inlineStr">
        <is>
          <t>merged</t>
        </is>
      </c>
      <c r="J415" t="inlineStr">
        <is>
          <t>e66910e6ba16a6999554aa9fcc785ca2bb7ec9bb</t>
        </is>
      </c>
      <c r="K415">
        <f>HYPERLINK("http://gitlab.osmosys.co/incident-reporter/incident-reporter-angular-portal/-/merge_requests/3656#note_245940", "Already we have in project for the blockKeys so please reuse it and remove comments")</f>
        <v/>
      </c>
      <c r="L415" t="inlineStr">
        <is>
          <t>2025-08-02 03:15:52.973 IST</t>
        </is>
      </c>
      <c r="M415" t="inlineStr">
        <is>
          <t>Soundariya B</t>
        </is>
      </c>
      <c r="N415" t="inlineStr">
        <is>
          <t>Yes</t>
        </is>
      </c>
      <c r="O415" t="inlineStr">
        <is>
          <t>Yes</t>
        </is>
      </c>
      <c r="P415" t="inlineStr">
        <is>
          <t>Soundariya B</t>
        </is>
      </c>
      <c r="Q415" t="inlineStr">
        <is>
          <t>Bad</t>
        </is>
      </c>
    </row>
    <row r="416">
      <c r="A416" t="inlineStr">
        <is>
          <t>aditya.c</t>
        </is>
      </c>
      <c r="B416" t="inlineStr">
        <is>
          <t>Aditya Chakraborty</t>
        </is>
      </c>
      <c r="C416" t="inlineStr">
        <is>
          <t>aditya.c@osmosys.co</t>
        </is>
      </c>
      <c r="D416" t="inlineStr">
        <is>
          <t>incident-reporter</t>
        </is>
      </c>
      <c r="E416">
        <f>HYPERLINK("http://gitlab.osmosys.co/incident-reporter/incident-reporter-angular-portal", "OQSHA Portal")</f>
        <v/>
      </c>
      <c r="F416">
        <f>HYPERLINK("http://gitlab.osmosys.co/incident-reporter/incident-reporter-angular-portal/-/merge_requests/3656", "fix: update audit sections ui (sprint-19)")</f>
        <v/>
      </c>
      <c r="G416" t="inlineStr">
        <is>
          <t>feat/update-audit-config-ui</t>
        </is>
      </c>
      <c r="H416" t="inlineStr">
        <is>
          <t>sprint-19</t>
        </is>
      </c>
      <c r="I416" t="inlineStr">
        <is>
          <t>merged</t>
        </is>
      </c>
      <c r="J416" t="inlineStr">
        <is>
          <t>1a6d83d6fdebf6bdaa8445312cd13262e28c6eae</t>
        </is>
      </c>
      <c r="K416">
        <f>HYPERLINK("http://gitlab.osmosys.co/incident-reporter/incident-reporter-angular-portal/-/merge_requests/3656#note_245941", "What is now? Make it today")</f>
        <v/>
      </c>
      <c r="L416" t="inlineStr">
        <is>
          <t>2025-08-02 03:15:53.042 IST</t>
        </is>
      </c>
      <c r="M416" t="inlineStr">
        <is>
          <t>Soundariya B</t>
        </is>
      </c>
      <c r="N416" t="inlineStr">
        <is>
          <t>Yes</t>
        </is>
      </c>
      <c r="O416" t="inlineStr">
        <is>
          <t>Yes</t>
        </is>
      </c>
      <c r="P416" t="inlineStr">
        <is>
          <t>Soundariya B</t>
        </is>
      </c>
      <c r="Q416" t="inlineStr">
        <is>
          <t>Bad</t>
        </is>
      </c>
    </row>
    <row r="417">
      <c r="A417" t="inlineStr">
        <is>
          <t>aditya.c</t>
        </is>
      </c>
      <c r="B417" t="inlineStr">
        <is>
          <t>Aditya Chakraborty</t>
        </is>
      </c>
      <c r="C417" t="inlineStr">
        <is>
          <t>aditya.c@osmosys.co</t>
        </is>
      </c>
      <c r="D417" t="inlineStr">
        <is>
          <t>incident-reporter</t>
        </is>
      </c>
      <c r="E417">
        <f>HYPERLINK("http://gitlab.osmosys.co/incident-reporter/incident-reporter-angular-portal", "OQSHA Portal")</f>
        <v/>
      </c>
      <c r="F417">
        <f>HYPERLINK("http://gitlab.osmosys.co/incident-reporter/incident-reporter-angular-portal/-/merge_requests/3656", "fix: update audit sections ui (sprint-19)")</f>
        <v/>
      </c>
      <c r="G417" t="inlineStr">
        <is>
          <t>feat/update-audit-config-ui</t>
        </is>
      </c>
      <c r="H417" t="inlineStr">
        <is>
          <t>sprint-19</t>
        </is>
      </c>
      <c r="I417" t="inlineStr">
        <is>
          <t>merged</t>
        </is>
      </c>
      <c r="J417" t="inlineStr">
        <is>
          <t>1a6d83d6fdebf6bdaa8445312cd13262e28c6eae</t>
        </is>
      </c>
      <c r="K417">
        <f>HYPERLINK("http://gitlab.osmosys.co/incident-reporter/incident-reporter-angular-portal/-/merge_requests/3656#note_246091", "![image](/uploads/3c7d05dc3b1375311a2754fbc4bcf5f1/image.png){width=760 height=86}
I had prepared the necessary data on top of the declaration - but reverted it")</f>
        <v/>
      </c>
      <c r="L417" t="inlineStr">
        <is>
          <t>2025-08-02 11:59:33.241 IST</t>
        </is>
      </c>
      <c r="M417" t="inlineStr">
        <is>
          <t>Aditya Chakraborty</t>
        </is>
      </c>
      <c r="N417" t="inlineStr">
        <is>
          <t>No</t>
        </is>
      </c>
      <c r="O417" t="inlineStr">
        <is>
          <t>Yes</t>
        </is>
      </c>
      <c r="P417" t="inlineStr">
        <is>
          <t>Soundariya B</t>
        </is>
      </c>
      <c r="Q417" t="inlineStr">
        <is>
          <t>Bad</t>
        </is>
      </c>
    </row>
    <row r="418">
      <c r="A418" t="inlineStr">
        <is>
          <t>aditya.c</t>
        </is>
      </c>
      <c r="B418" t="inlineStr">
        <is>
          <t>Aditya Chakraborty</t>
        </is>
      </c>
      <c r="C418" t="inlineStr">
        <is>
          <t>aditya.c@osmosys.co</t>
        </is>
      </c>
      <c r="D418" t="inlineStr">
        <is>
          <t>incident-reporter</t>
        </is>
      </c>
      <c r="E418">
        <f>HYPERLINK("http://gitlab.osmosys.co/incident-reporter/incident-reporter-angular-portal", "OQSHA Portal")</f>
        <v/>
      </c>
      <c r="F418">
        <f>HYPERLINK("http://gitlab.osmosys.co/incident-reporter/incident-reporter-angular-portal/-/merge_requests/3656", "fix: update audit sections ui (sprint-19)")</f>
        <v/>
      </c>
      <c r="G418" t="inlineStr">
        <is>
          <t>feat/update-audit-config-ui</t>
        </is>
      </c>
      <c r="H418" t="inlineStr">
        <is>
          <t>sprint-19</t>
        </is>
      </c>
      <c r="I418" t="inlineStr">
        <is>
          <t>merged</t>
        </is>
      </c>
      <c r="J418" t="inlineStr">
        <is>
          <t>655785c58f46e2e13be3adb997a78a9a61fa84aa</t>
        </is>
      </c>
      <c r="K418">
        <f>HYPERLINK("http://gitlab.osmosys.co/incident-reporter/incident-reporter-angular-portal/-/merge_requests/3656#note_246445", "Get the 'Required' from lang files")</f>
        <v/>
      </c>
      <c r="L418" t="inlineStr">
        <is>
          <t>2025-08-02 17:57:21.840 IST</t>
        </is>
      </c>
      <c r="M418" t="inlineStr">
        <is>
          <t>Soundariya B</t>
        </is>
      </c>
      <c r="N418" t="inlineStr">
        <is>
          <t>Yes</t>
        </is>
      </c>
      <c r="O418" t="inlineStr">
        <is>
          <t>Yes</t>
        </is>
      </c>
      <c r="P418" t="inlineStr">
        <is>
          <t>Soundariya B</t>
        </is>
      </c>
      <c r="Q418" t="inlineStr">
        <is>
          <t>Bad</t>
        </is>
      </c>
    </row>
    <row r="419">
      <c r="A419" t="inlineStr">
        <is>
          <t>aditya.c</t>
        </is>
      </c>
      <c r="B419" t="inlineStr">
        <is>
          <t>Aditya Chakraborty</t>
        </is>
      </c>
      <c r="C419" t="inlineStr">
        <is>
          <t>aditya.c@osmosys.co</t>
        </is>
      </c>
      <c r="D419" t="inlineStr">
        <is>
          <t>incident-reporter</t>
        </is>
      </c>
      <c r="E419">
        <f>HYPERLINK("http://gitlab.osmosys.co/incident-reporter/incident-reporter-angular-portal", "OQSHA Portal")</f>
        <v/>
      </c>
      <c r="F419">
        <f>HYPERLINK("http://gitlab.osmosys.co/incident-reporter/incident-reporter-angular-portal/-/merge_requests/3656", "fix: update audit sections ui (sprint-19)")</f>
        <v/>
      </c>
      <c r="G419" t="inlineStr">
        <is>
          <t>feat/update-audit-config-ui</t>
        </is>
      </c>
      <c r="H419" t="inlineStr">
        <is>
          <t>sprint-19</t>
        </is>
      </c>
      <c r="I419" t="inlineStr">
        <is>
          <t>merged</t>
        </is>
      </c>
      <c r="J419" t="inlineStr">
        <is>
          <t>655785c58f46e2e13be3adb997a78a9a61fa84aa</t>
        </is>
      </c>
      <c r="K419">
        <f>HYPERLINK("http://gitlab.osmosys.co/incident-reporter/incident-reporter-angular-portal/-/merge_requests/3656#note_246515", "As these labels are showing on UI as placeholders so it should take from lang files not from constant file as clearly mentioned to get from lang files")</f>
        <v/>
      </c>
      <c r="L419" t="inlineStr">
        <is>
          <t>2025-08-02 19:27:19.715 IST</t>
        </is>
      </c>
      <c r="M419" t="inlineStr">
        <is>
          <t>Soundariya B</t>
        </is>
      </c>
      <c r="N419" t="inlineStr">
        <is>
          <t>Yes</t>
        </is>
      </c>
      <c r="O419" t="inlineStr">
        <is>
          <t>Yes</t>
        </is>
      </c>
      <c r="P419" t="inlineStr">
        <is>
          <t>Soundariya B</t>
        </is>
      </c>
      <c r="Q419" t="inlineStr">
        <is>
          <t>Bad</t>
        </is>
      </c>
    </row>
    <row r="420">
      <c r="A420" t="inlineStr">
        <is>
          <t>aditya.c</t>
        </is>
      </c>
      <c r="B420" t="inlineStr">
        <is>
          <t>Aditya Chakraborty</t>
        </is>
      </c>
      <c r="C420" t="inlineStr">
        <is>
          <t>aditya.c@osmosys.co</t>
        </is>
      </c>
      <c r="D420" t="inlineStr">
        <is>
          <t>incident-reporter</t>
        </is>
      </c>
      <c r="E420">
        <f>HYPERLINK("http://gitlab.osmosys.co/incident-reporter/incident-reporter-angular-portal", "OQSHA Portal")</f>
        <v/>
      </c>
      <c r="F420">
        <f>HYPERLINK("http://gitlab.osmosys.co/incident-reporter/incident-reporter-angular-portal/-/merge_requests/3656", "fix: update audit sections ui (sprint-19)")</f>
        <v/>
      </c>
      <c r="G420" t="inlineStr">
        <is>
          <t>feat/update-audit-config-ui</t>
        </is>
      </c>
      <c r="H420" t="inlineStr">
        <is>
          <t>sprint-19</t>
        </is>
      </c>
      <c r="I420" t="inlineStr">
        <is>
          <t>merged</t>
        </is>
      </c>
      <c r="J420" t="inlineStr">
        <is>
          <t>6de390d6d1f09a2101399c9f6b3c91cd636bd9bd</t>
        </is>
      </c>
      <c r="K420">
        <f>HYPERLINK("http://gitlab.osmosys.co/incident-reporter/incident-reporter-angular-portal/-/merge_requests/3656#note_246446", "Please use only parseInt with radix which is enough")</f>
        <v/>
      </c>
      <c r="L420" t="inlineStr">
        <is>
          <t>2025-08-02 17:57:21.974 IST</t>
        </is>
      </c>
      <c r="M420" t="inlineStr">
        <is>
          <t>Soundariya B</t>
        </is>
      </c>
      <c r="N420" t="inlineStr">
        <is>
          <t>Yes</t>
        </is>
      </c>
      <c r="O420" t="inlineStr">
        <is>
          <t>Yes</t>
        </is>
      </c>
      <c r="P420" t="inlineStr">
        <is>
          <t>Soundariya B</t>
        </is>
      </c>
      <c r="Q420" t="inlineStr">
        <is>
          <t>Bad</t>
        </is>
      </c>
    </row>
    <row r="421">
      <c r="A421" t="inlineStr">
        <is>
          <t>aditya.c</t>
        </is>
      </c>
      <c r="B421" t="inlineStr">
        <is>
          <t>Aditya Chakraborty</t>
        </is>
      </c>
      <c r="C421" t="inlineStr">
        <is>
          <t>aditya.c@osmosys.co</t>
        </is>
      </c>
      <c r="D421" t="inlineStr">
        <is>
          <t>incident-reporter</t>
        </is>
      </c>
      <c r="E421">
        <f>HYPERLINK("http://gitlab.osmosys.co/incident-reporter/incident-reporter-angular-portal", "OQSHA Portal")</f>
        <v/>
      </c>
      <c r="F421">
        <f>HYPERLINK("http://gitlab.osmosys.co/incident-reporter/incident-reporter-angular-portal/-/merge_requests/3656", "fix: update audit sections ui (sprint-19)")</f>
        <v/>
      </c>
      <c r="G421" t="inlineStr">
        <is>
          <t>feat/update-audit-config-ui</t>
        </is>
      </c>
      <c r="H421" t="inlineStr">
        <is>
          <t>sprint-19</t>
        </is>
      </c>
      <c r="I421" t="inlineStr">
        <is>
          <t>merged</t>
        </is>
      </c>
      <c r="J421" t="inlineStr">
        <is>
          <t>47a0cf1dca8996527dd996b2b983ff27c152d180</t>
        </is>
      </c>
      <c r="K421">
        <f>HYPERLINK("http://gitlab.osmosys.co/incident-reporter/incident-reporter-angular-portal/-/merge_requests/3656#note_246447", "Both are same, so is this needed? if yes then what is the reason?")</f>
        <v/>
      </c>
      <c r="L421" t="inlineStr">
        <is>
          <t>2025-08-02 17:57:22.060 IST</t>
        </is>
      </c>
      <c r="M421" t="inlineStr">
        <is>
          <t>Soundariya B</t>
        </is>
      </c>
      <c r="N421" t="inlineStr">
        <is>
          <t>Yes</t>
        </is>
      </c>
      <c r="O421" t="inlineStr">
        <is>
          <t>Yes</t>
        </is>
      </c>
      <c r="P421" t="inlineStr">
        <is>
          <t>Soundariya B</t>
        </is>
      </c>
      <c r="Q421" t="inlineStr">
        <is>
          <t>Neutral</t>
        </is>
      </c>
    </row>
    <row r="422">
      <c r="A422" t="inlineStr">
        <is>
          <t>aditya.c</t>
        </is>
      </c>
      <c r="B422" t="inlineStr">
        <is>
          <t>Aditya Chakraborty</t>
        </is>
      </c>
      <c r="C422" t="inlineStr">
        <is>
          <t>aditya.c@osmosys.co</t>
        </is>
      </c>
      <c r="D422" t="inlineStr">
        <is>
          <t>incident-reporter</t>
        </is>
      </c>
      <c r="E422">
        <f>HYPERLINK("http://gitlab.osmosys.co/incident-reporter/incident-reporter-angular-portal", "OQSHA Portal")</f>
        <v/>
      </c>
      <c r="F422">
        <f>HYPERLINK("http://gitlab.osmosys.co/incident-reporter/incident-reporter-angular-portal/-/merge_requests/3656", "fix: update audit sections ui (sprint-19)")</f>
        <v/>
      </c>
      <c r="G422" t="inlineStr">
        <is>
          <t>feat/update-audit-config-ui</t>
        </is>
      </c>
      <c r="H422" t="inlineStr">
        <is>
          <t>sprint-19</t>
        </is>
      </c>
      <c r="I422" t="inlineStr">
        <is>
          <t>merged</t>
        </is>
      </c>
      <c r="J422" t="inlineStr">
        <is>
          <t>47a0cf1dca8996527dd996b2b983ff27c152d180</t>
        </is>
      </c>
      <c r="K422">
        <f>HYPERLINK("http://gitlab.osmosys.co/incident-reporter/incident-reporter-angular-portal/-/merge_requests/3656#note_246509", "Yes - its for initializing the multiselect options, we show 2 empty options by default when single select, multi select and dynamic radiobutton is selected")</f>
        <v/>
      </c>
      <c r="L422" t="inlineStr">
        <is>
          <t>2025-08-02 19:22:25.510 IST</t>
        </is>
      </c>
      <c r="M422" t="inlineStr">
        <is>
          <t>Aditya Chakraborty</t>
        </is>
      </c>
      <c r="N422" t="inlineStr">
        <is>
          <t>No</t>
        </is>
      </c>
      <c r="O422" t="inlineStr">
        <is>
          <t>Yes</t>
        </is>
      </c>
      <c r="P422" t="inlineStr">
        <is>
          <t>Soundariya B</t>
        </is>
      </c>
      <c r="Q422" t="inlineStr">
        <is>
          <t>Neutral</t>
        </is>
      </c>
    </row>
    <row r="423">
      <c r="A423" t="inlineStr">
        <is>
          <t>aditya.c</t>
        </is>
      </c>
      <c r="B423" t="inlineStr">
        <is>
          <t>Aditya Chakraborty</t>
        </is>
      </c>
      <c r="C423" t="inlineStr">
        <is>
          <t>aditya.c@osmosys.co</t>
        </is>
      </c>
      <c r="D423" t="inlineStr">
        <is>
          <t>incident-reporter</t>
        </is>
      </c>
      <c r="E423">
        <f>HYPERLINK("http://gitlab.osmosys.co/incident-reporter/incident-reporter-angular-portal", "OQSHA Portal")</f>
        <v/>
      </c>
      <c r="F423">
        <f>HYPERLINK("http://gitlab.osmosys.co/incident-reporter/incident-reporter-angular-portal/-/merge_requests/3656", "fix: update audit sections ui (sprint-19)")</f>
        <v/>
      </c>
      <c r="G423" t="inlineStr">
        <is>
          <t>feat/update-audit-config-ui</t>
        </is>
      </c>
      <c r="H423" t="inlineStr">
        <is>
          <t>sprint-19</t>
        </is>
      </c>
      <c r="I423" t="inlineStr">
        <is>
          <t>merged</t>
        </is>
      </c>
      <c r="J423" t="inlineStr">
        <is>
          <t>cdcf1bda0929a0faed5b8bceb2d2df03be04a988</t>
        </is>
      </c>
      <c r="K423">
        <f>HYPERLINK("http://gitlab.osmosys.co/incident-reporter/incident-reporter-angular-portal/-/merge_requests/3656#note_246448", "The validatior and pattern using multiple place so please check and fix it and maxLength should be pass dynamically")</f>
        <v/>
      </c>
      <c r="L423" t="inlineStr">
        <is>
          <t>2025-08-02 17:57:22.148 IST</t>
        </is>
      </c>
      <c r="M423" t="inlineStr">
        <is>
          <t>Soundariya B</t>
        </is>
      </c>
      <c r="N423" t="inlineStr">
        <is>
          <t>Yes</t>
        </is>
      </c>
      <c r="O423" t="inlineStr">
        <is>
          <t>Yes</t>
        </is>
      </c>
      <c r="P423" t="inlineStr">
        <is>
          <t>Soundariya B</t>
        </is>
      </c>
      <c r="Q423" t="inlineStr">
        <is>
          <t>Bad</t>
        </is>
      </c>
    </row>
    <row r="424">
      <c r="A424" t="inlineStr">
        <is>
          <t>aditya.c</t>
        </is>
      </c>
      <c r="B424" t="inlineStr">
        <is>
          <t>Aditya Chakraborty</t>
        </is>
      </c>
      <c r="C424" t="inlineStr">
        <is>
          <t>aditya.c@osmosys.co</t>
        </is>
      </c>
      <c r="D424" t="inlineStr">
        <is>
          <t>incident-reporter</t>
        </is>
      </c>
      <c r="E424">
        <f>HYPERLINK("http://gitlab.osmosys.co/incident-reporter/incident-reporter-angular-portal", "OQSHA Portal")</f>
        <v/>
      </c>
      <c r="F424">
        <f>HYPERLINK("http://gitlab.osmosys.co/incident-reporter/incident-reporter-angular-portal/-/merge_requests/3656", "fix: update audit sections ui (sprint-19)")</f>
        <v/>
      </c>
      <c r="G424" t="inlineStr">
        <is>
          <t>feat/update-audit-config-ui</t>
        </is>
      </c>
      <c r="H424" t="inlineStr">
        <is>
          <t>sprint-19</t>
        </is>
      </c>
      <c r="I424" t="inlineStr">
        <is>
          <t>merged</t>
        </is>
      </c>
      <c r="J424" t="inlineStr">
        <is>
          <t>5055e378a01cb4ba6629841a9edb982cbe5bc718</t>
        </is>
      </c>
      <c r="K424">
        <f>HYPERLINK("http://gitlab.osmosys.co/incident-reporter/incident-reporter-angular-portal/-/merge_requests/3656#note_246449", "Don't use 'any' data type")</f>
        <v/>
      </c>
      <c r="L424" t="inlineStr">
        <is>
          <t>2025-08-02 17:57:22.230 IST</t>
        </is>
      </c>
      <c r="M424" t="inlineStr">
        <is>
          <t>Soundariya B</t>
        </is>
      </c>
      <c r="N424" t="inlineStr">
        <is>
          <t>Yes</t>
        </is>
      </c>
      <c r="O424" t="inlineStr">
        <is>
          <t>Yes</t>
        </is>
      </c>
      <c r="P424" t="inlineStr">
        <is>
          <t>Soundariya B</t>
        </is>
      </c>
      <c r="Q424" t="inlineStr">
        <is>
          <t>Bad</t>
        </is>
      </c>
    </row>
    <row r="425">
      <c r="A425" t="inlineStr">
        <is>
          <t>aditya.c</t>
        </is>
      </c>
      <c r="B425" t="inlineStr">
        <is>
          <t>Aditya Chakraborty</t>
        </is>
      </c>
      <c r="C425" t="inlineStr">
        <is>
          <t>aditya.c@osmosys.co</t>
        </is>
      </c>
      <c r="D425" t="inlineStr">
        <is>
          <t>incident-reporter</t>
        </is>
      </c>
      <c r="E425">
        <f>HYPERLINK("http://gitlab.osmosys.co/incident-reporter/incident-reporter-angular-portal", "OQSHA Portal")</f>
        <v/>
      </c>
      <c r="F425">
        <f>HYPERLINK("http://gitlab.osmosys.co/incident-reporter/incident-reporter-angular-portal/-/merge_requests/3656", "fix: update audit sections ui (sprint-19)")</f>
        <v/>
      </c>
      <c r="G425" t="inlineStr">
        <is>
          <t>feat/update-audit-config-ui</t>
        </is>
      </c>
      <c r="H425" t="inlineStr">
        <is>
          <t>sprint-19</t>
        </is>
      </c>
      <c r="I425" t="inlineStr">
        <is>
          <t>merged</t>
        </is>
      </c>
      <c r="J425" t="inlineStr">
        <is>
          <t>7e972fc01a75101571d8f10b7cb186cba4cc50a6</t>
        </is>
      </c>
      <c r="K425">
        <f>HYPERLINK("http://gitlab.osmosys.co/incident-reporter/incident-reporter-angular-portal/-/merge_requests/3656#note_246450", "This inclusion checkType condtion/expression using multiple places so can you fix and use it dynamic also reuse it")</f>
        <v/>
      </c>
      <c r="L425" t="inlineStr">
        <is>
          <t>2025-08-02 17:57:22.308 IST</t>
        </is>
      </c>
      <c r="M425" t="inlineStr">
        <is>
          <t>Soundariya B</t>
        </is>
      </c>
      <c r="N425" t="inlineStr">
        <is>
          <t>Yes</t>
        </is>
      </c>
      <c r="O425" t="inlineStr">
        <is>
          <t>Yes</t>
        </is>
      </c>
      <c r="P425" t="inlineStr">
        <is>
          <t>Soundariya B</t>
        </is>
      </c>
      <c r="Q425" t="inlineStr">
        <is>
          <t>Bad</t>
        </is>
      </c>
    </row>
    <row r="426">
      <c r="A426" t="inlineStr">
        <is>
          <t>aditya.c</t>
        </is>
      </c>
      <c r="B426" t="inlineStr">
        <is>
          <t>Aditya Chakraborty</t>
        </is>
      </c>
      <c r="C426" t="inlineStr">
        <is>
          <t>aditya.c@osmosys.co</t>
        </is>
      </c>
      <c r="D426" t="inlineStr">
        <is>
          <t>incident-reporter</t>
        </is>
      </c>
      <c r="E426">
        <f>HYPERLINK("http://gitlab.osmosys.co/incident-reporter/incident-reporter-angular-portal", "OQSHA Portal")</f>
        <v/>
      </c>
      <c r="F426">
        <f>HYPERLINK("http://gitlab.osmosys.co/incident-reporter/incident-reporter-angular-portal/-/merge_requests/3656", "fix: update audit sections ui (sprint-19)")</f>
        <v/>
      </c>
      <c r="G426" t="inlineStr">
        <is>
          <t>feat/update-audit-config-ui</t>
        </is>
      </c>
      <c r="H426" t="inlineStr">
        <is>
          <t>sprint-19</t>
        </is>
      </c>
      <c r="I426" t="inlineStr">
        <is>
          <t>merged</t>
        </is>
      </c>
      <c r="J426" t="inlineStr">
        <is>
          <t>b6bddc05c6a04db63546cb5863f2305b057a1c27</t>
        </is>
      </c>
      <c r="K426">
        <f>HYPERLINK("http://gitlab.osmosys.co/incident-reporter/incident-reporter-angular-portal/-/merge_requests/3656#note_246451", "It should be attach instead of at")</f>
        <v/>
      </c>
      <c r="L426" t="inlineStr">
        <is>
          <t>2025-08-02 17:57:22.385 IST</t>
        </is>
      </c>
      <c r="M426" t="inlineStr">
        <is>
          <t>Soundariya B</t>
        </is>
      </c>
      <c r="N426" t="inlineStr">
        <is>
          <t>Yes</t>
        </is>
      </c>
      <c r="O426" t="inlineStr">
        <is>
          <t>Yes</t>
        </is>
      </c>
      <c r="P426" t="inlineStr">
        <is>
          <t>Soundariya B</t>
        </is>
      </c>
      <c r="Q426" t="inlineStr">
        <is>
          <t>Bad</t>
        </is>
      </c>
    </row>
    <row r="427">
      <c r="A427" t="inlineStr">
        <is>
          <t>aditya.c</t>
        </is>
      </c>
      <c r="B427" t="inlineStr">
        <is>
          <t>Aditya Chakraborty</t>
        </is>
      </c>
      <c r="C427" t="inlineStr">
        <is>
          <t>aditya.c@osmosys.co</t>
        </is>
      </c>
      <c r="D427" t="inlineStr">
        <is>
          <t>incident-reporter</t>
        </is>
      </c>
      <c r="E427">
        <f>HYPERLINK("http://gitlab.osmosys.co/incident-reporter/incident-reporter-angular-portal", "OQSHA Portal")</f>
        <v/>
      </c>
      <c r="F427">
        <f>HYPERLINK("http://gitlab.osmosys.co/incident-reporter/incident-reporter-angular-portal/-/merge_requests/3656", "fix: update audit sections ui (sprint-19)")</f>
        <v/>
      </c>
      <c r="G427" t="inlineStr">
        <is>
          <t>feat/update-audit-config-ui</t>
        </is>
      </c>
      <c r="H427" t="inlineStr">
        <is>
          <t>sprint-19</t>
        </is>
      </c>
      <c r="I427" t="inlineStr">
        <is>
          <t>merged</t>
        </is>
      </c>
      <c r="J427" t="inlineStr">
        <is>
          <t>6863b616f9819fc744eb0a7bed6b1109e283df6b</t>
        </is>
      </c>
      <c r="K427">
        <f>HYPERLINK("http://gitlab.osmosys.co/incident-reporter/incident-reporter-angular-portal/-/merge_requests/3656#note_246452", "Here using same thing two times so please fix it and reuse it.
![image](/uploads/9b52ad63ff1fdb72d16ce7f24dcf1581/image.png)")</f>
        <v/>
      </c>
      <c r="L427" t="inlineStr">
        <is>
          <t>2025-08-02 17:57:22.477 IST</t>
        </is>
      </c>
      <c r="M427" t="inlineStr">
        <is>
          <t>Soundariya B</t>
        </is>
      </c>
      <c r="N427" t="inlineStr">
        <is>
          <t>Yes</t>
        </is>
      </c>
      <c r="O427" t="inlineStr">
        <is>
          <t>Yes</t>
        </is>
      </c>
      <c r="P427" t="inlineStr">
        <is>
          <t>Soundariya B</t>
        </is>
      </c>
      <c r="Q427" t="inlineStr">
        <is>
          <t>Bad</t>
        </is>
      </c>
    </row>
    <row r="428">
      <c r="A428" t="inlineStr">
        <is>
          <t>aditya.c</t>
        </is>
      </c>
      <c r="B428" t="inlineStr">
        <is>
          <t>Aditya Chakraborty</t>
        </is>
      </c>
      <c r="C428" t="inlineStr">
        <is>
          <t>aditya.c@osmosys.co</t>
        </is>
      </c>
      <c r="D428" t="inlineStr">
        <is>
          <t>incident-reporter</t>
        </is>
      </c>
      <c r="E428">
        <f>HYPERLINK("http://gitlab.osmosys.co/incident-reporter/incident-reporter-angular-portal", "OQSHA Portal")</f>
        <v/>
      </c>
      <c r="F428">
        <f>HYPERLINK("http://gitlab.osmosys.co/incident-reporter/incident-reporter-angular-portal/-/merge_requests/3656", "fix: update audit sections ui (sprint-19)")</f>
        <v/>
      </c>
      <c r="G428" t="inlineStr">
        <is>
          <t>feat/update-audit-config-ui</t>
        </is>
      </c>
      <c r="H428" t="inlineStr">
        <is>
          <t>sprint-19</t>
        </is>
      </c>
      <c r="I428" t="inlineStr">
        <is>
          <t>merged</t>
        </is>
      </c>
      <c r="J428" t="inlineStr">
        <is>
          <t>2a722e68259f5d24b43d97c1fe01d1d3a5d7e6c2</t>
        </is>
      </c>
      <c r="K428">
        <f>HYPERLINK("http://gitlab.osmosys.co/incident-reporter/incident-reporter-angular-portal/-/merge_requests/3656#note_246453", "This code is also using more than 1 time please fix it.")</f>
        <v/>
      </c>
      <c r="L428" t="inlineStr">
        <is>
          <t>2025-08-02 17:57:22.562 IST</t>
        </is>
      </c>
      <c r="M428" t="inlineStr">
        <is>
          <t>Soundariya B</t>
        </is>
      </c>
      <c r="N428" t="inlineStr">
        <is>
          <t>Yes</t>
        </is>
      </c>
      <c r="O428" t="inlineStr">
        <is>
          <t>Yes</t>
        </is>
      </c>
      <c r="P428" t="inlineStr">
        <is>
          <t>Soundariya B</t>
        </is>
      </c>
      <c r="Q428" t="inlineStr">
        <is>
          <t>Bad</t>
        </is>
      </c>
    </row>
    <row r="429">
      <c r="A429" t="inlineStr">
        <is>
          <t>aditya.c</t>
        </is>
      </c>
      <c r="B429" t="inlineStr">
        <is>
          <t>Aditya Chakraborty</t>
        </is>
      </c>
      <c r="C429" t="inlineStr">
        <is>
          <t>aditya.c@osmosys.co</t>
        </is>
      </c>
      <c r="D429" t="inlineStr">
        <is>
          <t>incident-reporter</t>
        </is>
      </c>
      <c r="E429">
        <f>HYPERLINK("http://gitlab.osmosys.co/incident-reporter/incident-reporter-angular-portal", "OQSHA Portal")</f>
        <v/>
      </c>
      <c r="F429">
        <f>HYPERLINK("http://gitlab.osmosys.co/incident-reporter/incident-reporter-angular-portal/-/merge_requests/3653", "fix: empty checks issue")</f>
        <v/>
      </c>
      <c r="G429" t="inlineStr">
        <is>
          <t>fix/empty-checks-issue</t>
        </is>
      </c>
      <c r="H429" t="inlineStr">
        <is>
          <t>sprint-18</t>
        </is>
      </c>
      <c r="I429" t="inlineStr">
        <is>
          <t>closed</t>
        </is>
      </c>
      <c r="J429" t="inlineStr"/>
      <c r="K429" t="inlineStr"/>
      <c r="L429" t="inlineStr"/>
      <c r="M429" t="inlineStr"/>
      <c r="N429" t="inlineStr"/>
      <c r="O429" t="inlineStr"/>
      <c r="P429" t="inlineStr"/>
      <c r="Q429" t="inlineStr"/>
    </row>
    <row r="430">
      <c r="A430" t="inlineStr">
        <is>
          <t>aditya.c</t>
        </is>
      </c>
      <c r="B430" t="inlineStr">
        <is>
          <t>Aditya Chakraborty</t>
        </is>
      </c>
      <c r="C430" t="inlineStr">
        <is>
          <t>aditya.c@osmosys.co</t>
        </is>
      </c>
      <c r="D430" t="inlineStr">
        <is>
          <t>incident-reporter</t>
        </is>
      </c>
      <c r="E430">
        <f>HYPERLINK("http://gitlab.osmosys.co/incident-reporter/incident-reporter-angular-portal", "OQSHA Portal")</f>
        <v/>
      </c>
      <c r="F430">
        <f>HYPERLINK("http://gitlab.osmosys.co/incident-reporter/incident-reporter-angular-portal/-/merge_requests/3648", "fix: small fixes in ptw and hira")</f>
        <v/>
      </c>
      <c r="G430" t="inlineStr">
        <is>
          <t>fix/empty-checks-issue</t>
        </is>
      </c>
      <c r="H430" t="inlineStr">
        <is>
          <t>sprint-18</t>
        </is>
      </c>
      <c r="I430" t="inlineStr">
        <is>
          <t>merged</t>
        </is>
      </c>
      <c r="J430" t="inlineStr"/>
      <c r="K430" t="inlineStr"/>
      <c r="L430" t="inlineStr"/>
      <c r="M430" t="inlineStr"/>
      <c r="N430" t="inlineStr"/>
      <c r="O430" t="inlineStr"/>
      <c r="P430" t="inlineStr"/>
      <c r="Q430" t="inlineStr"/>
    </row>
    <row r="431">
      <c r="A431" t="inlineStr">
        <is>
          <t>aditya.c</t>
        </is>
      </c>
      <c r="B431" t="inlineStr">
        <is>
          <t>Aditya Chakraborty</t>
        </is>
      </c>
      <c r="C431" t="inlineStr">
        <is>
          <t>aditya.c@osmosys.co</t>
        </is>
      </c>
      <c r="D431" t="inlineStr">
        <is>
          <t>incident-reporter</t>
        </is>
      </c>
      <c r="E431">
        <f>HYPERLINK("http://gitlab.osmosys.co/incident-reporter/incident-reporter-angular-portal", "OQSHA Portal")</f>
        <v/>
      </c>
      <c r="F431">
        <f>HYPERLINK("http://gitlab.osmosys.co/incident-reporter/incident-reporter-angular-portal/-/merge_requests/3645", "fix: duplicate API calls on next navigation")</f>
        <v/>
      </c>
      <c r="G431" t="inlineStr">
        <is>
          <t>fix/duplicate-api-call-edit</t>
        </is>
      </c>
      <c r="H431" t="inlineStr">
        <is>
          <t>sprint-19</t>
        </is>
      </c>
      <c r="I431" t="inlineStr">
        <is>
          <t>merged</t>
        </is>
      </c>
      <c r="J431" t="inlineStr">
        <is>
          <t>b88260256481c888d216182115cec0f66dafb693</t>
        </is>
      </c>
      <c r="K431">
        <f>HYPERLINK("http://gitlab.osmosys.co/incident-reporter/incident-reporter-angular-portal/-/merge_requests/3645#note_244005", "Can you please attach the recording what all are pages you checked and added the changes, a bit doubtful as many codes remove so just want to to make sure nothing is broken and also you also test once if any doubt")</f>
        <v/>
      </c>
      <c r="L431" t="inlineStr">
        <is>
          <t>2025-07-29 20:20:28.311 IST</t>
        </is>
      </c>
      <c r="M431" t="inlineStr">
        <is>
          <t>Soundariya B</t>
        </is>
      </c>
      <c r="N431" t="inlineStr">
        <is>
          <t>Yes</t>
        </is>
      </c>
      <c r="O431" t="inlineStr">
        <is>
          <t>Yes</t>
        </is>
      </c>
      <c r="P431" t="inlineStr">
        <is>
          <t>Soundariya B</t>
        </is>
      </c>
      <c r="Q431" t="inlineStr">
        <is>
          <t>Bad</t>
        </is>
      </c>
    </row>
    <row r="432">
      <c r="A432" t="inlineStr">
        <is>
          <t>aditya.c</t>
        </is>
      </c>
      <c r="B432" t="inlineStr">
        <is>
          <t>Aditya Chakraborty</t>
        </is>
      </c>
      <c r="C432" t="inlineStr">
        <is>
          <t>aditya.c@osmosys.co</t>
        </is>
      </c>
      <c r="D432" t="inlineStr">
        <is>
          <t>incident-reporter</t>
        </is>
      </c>
      <c r="E432">
        <f>HYPERLINK("http://gitlab.osmosys.co/incident-reporter/incident-reporter-angular-portal", "OQSHA Portal")</f>
        <v/>
      </c>
      <c r="F432">
        <f>HYPERLINK("http://gitlab.osmosys.co/incident-reporter/incident-reporter-angular-portal/-/merge_requests/3641", "fix: update header and time format in batches")</f>
        <v/>
      </c>
      <c r="G432" t="inlineStr">
        <is>
          <t>fix/date-time-batches</t>
        </is>
      </c>
      <c r="H432" t="inlineStr">
        <is>
          <t>sprint-18</t>
        </is>
      </c>
      <c r="I432" t="inlineStr">
        <is>
          <t>merged</t>
        </is>
      </c>
      <c r="J432" t="inlineStr">
        <is>
          <t>53ec10d8684e7799c2a20adb18012c35fb06e4ff</t>
        </is>
      </c>
      <c r="K432">
        <f>HYPERLINK("http://gitlab.osmosys.co/incident-reporter/incident-reporter-angular-portal/-/merge_requests/3641#note_243438", "![image](/uploads/c1d93d360784dd36c038d71761587f9f/image.png)
Field name should be 'Starting date &amp; time' or 'Start date &amp; time'")</f>
        <v/>
      </c>
      <c r="L432" t="inlineStr">
        <is>
          <t>2025-07-29 11:42:34.707 IST</t>
        </is>
      </c>
      <c r="M432" t="inlineStr">
        <is>
          <t>Soundariya B</t>
        </is>
      </c>
      <c r="N432" t="inlineStr">
        <is>
          <t>Yes</t>
        </is>
      </c>
      <c r="O432" t="inlineStr">
        <is>
          <t>Yes</t>
        </is>
      </c>
      <c r="P432" t="inlineStr">
        <is>
          <t>Soundariya B</t>
        </is>
      </c>
      <c r="Q432" t="inlineStr">
        <is>
          <t>Neutral</t>
        </is>
      </c>
    </row>
    <row r="433">
      <c r="A433" t="inlineStr">
        <is>
          <t>aditya.c</t>
        </is>
      </c>
      <c r="B433" t="inlineStr">
        <is>
          <t>Aditya Chakraborty</t>
        </is>
      </c>
      <c r="C433" t="inlineStr">
        <is>
          <t>aditya.c@osmosys.co</t>
        </is>
      </c>
      <c r="D433" t="inlineStr">
        <is>
          <t>incident-reporter</t>
        </is>
      </c>
      <c r="E433">
        <f>HYPERLINK("http://gitlab.osmosys.co/incident-reporter/incident-reporter-angular-portal", "OQSHA Portal")</f>
        <v/>
      </c>
      <c r="F433">
        <f>HYPERLINK("http://gitlab.osmosys.co/incident-reporter/incident-reporter-angular-portal/-/merge_requests/3641", "fix: update header and time format in batches")</f>
        <v/>
      </c>
      <c r="G433" t="inlineStr">
        <is>
          <t>fix/date-time-batches</t>
        </is>
      </c>
      <c r="H433" t="inlineStr">
        <is>
          <t>sprint-18</t>
        </is>
      </c>
      <c r="I433" t="inlineStr">
        <is>
          <t>merged</t>
        </is>
      </c>
      <c r="J433" t="inlineStr">
        <is>
          <t>53ec10d8684e7799c2a20adb18012c35fb06e4ff</t>
        </is>
      </c>
      <c r="K433">
        <f>HYPERLINK("http://gitlab.osmosys.co/incident-reporter/incident-reporter-angular-portal/-/merge_requests/3641#note_243628", "![image](/uploads/7296cbcb53fa1f5e1c8ba83e81a0a96f/image.png){width=1437 height=682}")</f>
        <v/>
      </c>
      <c r="L433" t="inlineStr">
        <is>
          <t>2025-07-29 12:49:16.110 IST</t>
        </is>
      </c>
      <c r="M433" t="inlineStr">
        <is>
          <t>Aditya Chakraborty</t>
        </is>
      </c>
      <c r="N433" t="inlineStr">
        <is>
          <t>No</t>
        </is>
      </c>
      <c r="O433" t="inlineStr">
        <is>
          <t>Yes</t>
        </is>
      </c>
      <c r="P433" t="inlineStr">
        <is>
          <t>Soundariya B</t>
        </is>
      </c>
      <c r="Q433" t="inlineStr">
        <is>
          <t>Neutral</t>
        </is>
      </c>
    </row>
    <row r="434">
      <c r="A434" t="inlineStr">
        <is>
          <t>aditya.c</t>
        </is>
      </c>
      <c r="B434" t="inlineStr">
        <is>
          <t>Aditya Chakraborty</t>
        </is>
      </c>
      <c r="C434" t="inlineStr">
        <is>
          <t>aditya.c@osmosys.co</t>
        </is>
      </c>
      <c r="D434" t="inlineStr">
        <is>
          <t>incident-reporter</t>
        </is>
      </c>
      <c r="E434">
        <f>HYPERLINK("http://gitlab.osmosys.co/incident-reporter/incident-reporter-angular-portal", "OQSHA Portal")</f>
        <v/>
      </c>
      <c r="F434">
        <f>HYPERLINK("http://gitlab.osmosys.co/incident-reporter/incident-reporter-angular-portal/-/merge_requests/3641", "fix: update header and time format in batches")</f>
        <v/>
      </c>
      <c r="G434" t="inlineStr">
        <is>
          <t>fix/date-time-batches</t>
        </is>
      </c>
      <c r="H434" t="inlineStr">
        <is>
          <t>sprint-18</t>
        </is>
      </c>
      <c r="I434" t="inlineStr">
        <is>
          <t>merged</t>
        </is>
      </c>
      <c r="J434" t="inlineStr">
        <is>
          <t>54c2f5922d916efb386c0bd9563f02e44f8989ec</t>
        </is>
      </c>
      <c r="K434">
        <f>HYPERLINK("http://gitlab.osmosys.co/incident-reporter/incident-reporter-angular-portal/-/merge_requests/3641#note_243439", "- The column name should be - Starting date &amp; time or Start date &amp; time
- Did you report to API team about seconds issue for time data? If not then please do
![image](/uploads/d337d51235f19ea9434adeb539b97ef9/image.png)")</f>
        <v/>
      </c>
      <c r="L434" t="inlineStr">
        <is>
          <t>2025-07-29 11:42:34.745 IST</t>
        </is>
      </c>
      <c r="M434" t="inlineStr">
        <is>
          <t>Soundariya B</t>
        </is>
      </c>
      <c r="N434" t="inlineStr">
        <is>
          <t>Yes</t>
        </is>
      </c>
      <c r="O434" t="inlineStr">
        <is>
          <t>Yes</t>
        </is>
      </c>
      <c r="P434" t="inlineStr">
        <is>
          <t>Soundariya B</t>
        </is>
      </c>
      <c r="Q434" t="inlineStr">
        <is>
          <t>Bad</t>
        </is>
      </c>
    </row>
    <row r="435">
      <c r="A435" t="inlineStr">
        <is>
          <t>aditya.c</t>
        </is>
      </c>
      <c r="B435" t="inlineStr">
        <is>
          <t>Aditya Chakraborty</t>
        </is>
      </c>
      <c r="C435" t="inlineStr">
        <is>
          <t>aditya.c@osmosys.co</t>
        </is>
      </c>
      <c r="D435" t="inlineStr">
        <is>
          <t>incident-reporter</t>
        </is>
      </c>
      <c r="E435">
        <f>HYPERLINK("http://gitlab.osmosys.co/incident-reporter/incident-reporter-angular-portal", "OQSHA Portal")</f>
        <v/>
      </c>
      <c r="F435">
        <f>HYPERLINK("http://gitlab.osmosys.co/incident-reporter/incident-reporter-angular-portal/-/merge_requests/3641", "fix: update header and time format in batches")</f>
        <v/>
      </c>
      <c r="G435" t="inlineStr">
        <is>
          <t>fix/date-time-batches</t>
        </is>
      </c>
      <c r="H435" t="inlineStr">
        <is>
          <t>sprint-18</t>
        </is>
      </c>
      <c r="I435" t="inlineStr">
        <is>
          <t>merged</t>
        </is>
      </c>
      <c r="J435" t="inlineStr">
        <is>
          <t>54c2f5922d916efb386c0bd9563f02e44f8989ec</t>
        </is>
      </c>
      <c r="K435">
        <f>HYPERLINK("http://gitlab.osmosys.co/incident-reporter/incident-reporter-angular-portal/-/merge_requests/3641#note_243626", "![image](/uploads/8f25a99b79923a393e0ede39b5294f09/image.png){width=1439 height=678}
Already updated in code and this field is for starting of a course - we will never practically schedule a course with HH:MM:**SS**
And yes, I have reported to API lead
![image](/uploads/548d4bfbcba5d8d3a29d14d7930c7be5/image.png){width=981 height=164}")</f>
        <v/>
      </c>
      <c r="L435" t="inlineStr">
        <is>
          <t>2025-07-29 12:45:47.388 IST</t>
        </is>
      </c>
      <c r="M435" t="inlineStr">
        <is>
          <t>Aditya Chakraborty</t>
        </is>
      </c>
      <c r="N435" t="inlineStr">
        <is>
          <t>No</t>
        </is>
      </c>
      <c r="O435" t="inlineStr">
        <is>
          <t>Yes</t>
        </is>
      </c>
      <c r="P435" t="inlineStr">
        <is>
          <t>Soundariya B</t>
        </is>
      </c>
      <c r="Q435" t="inlineStr">
        <is>
          <t>Bad</t>
        </is>
      </c>
    </row>
    <row r="436">
      <c r="A436" t="inlineStr">
        <is>
          <t>aditya.c</t>
        </is>
      </c>
      <c r="B436" t="inlineStr">
        <is>
          <t>Aditya Chakraborty</t>
        </is>
      </c>
      <c r="C436" t="inlineStr">
        <is>
          <t>aditya.c@osmosys.co</t>
        </is>
      </c>
      <c r="D436" t="inlineStr">
        <is>
          <t>incident-reporter</t>
        </is>
      </c>
      <c r="E436">
        <f>HYPERLINK("http://gitlab.osmosys.co/incident-reporter/incident-reporter-angular-portal", "OQSHA Portal")</f>
        <v/>
      </c>
      <c r="F436">
        <f>HYPERLINK("http://gitlab.osmosys.co/incident-reporter/incident-reporter-angular-portal/-/merge_requests/3641", "fix: update header and time format in batches")</f>
        <v/>
      </c>
      <c r="G436" t="inlineStr">
        <is>
          <t>fix/date-time-batches</t>
        </is>
      </c>
      <c r="H436" t="inlineStr">
        <is>
          <t>sprint-18</t>
        </is>
      </c>
      <c r="I436" t="inlineStr">
        <is>
          <t>merged</t>
        </is>
      </c>
      <c r="J436" t="inlineStr">
        <is>
          <t>3df7b9a387fa90c5478994fd4a942602cc0b0cbd</t>
        </is>
      </c>
      <c r="K436">
        <f>HYPERLINK("http://gitlab.osmosys.co/incident-reporter/incident-reporter-angular-portal/-/merge_requests/3641#note_243440", "* The column name should be - Start date &amp; time
* Did you report to API team about seconds issue for time data? If not then please do
![image](/uploads/a30e3381bd8bdde08e2d5a871835eb4d/image.png)")</f>
        <v/>
      </c>
      <c r="L436" t="inlineStr">
        <is>
          <t>2025-07-29 11:42:34.778 IST</t>
        </is>
      </c>
      <c r="M436" t="inlineStr">
        <is>
          <t>Soundariya B</t>
        </is>
      </c>
      <c r="N436" t="inlineStr">
        <is>
          <t>Yes</t>
        </is>
      </c>
      <c r="O436" t="inlineStr">
        <is>
          <t>Yes</t>
        </is>
      </c>
      <c r="P436" t="inlineStr">
        <is>
          <t>Soundariya B</t>
        </is>
      </c>
      <c r="Q436" t="inlineStr">
        <is>
          <t>Bad</t>
        </is>
      </c>
    </row>
    <row r="437">
      <c r="A437" t="inlineStr">
        <is>
          <t>aditya.c</t>
        </is>
      </c>
      <c r="B437" t="inlineStr">
        <is>
          <t>Aditya Chakraborty</t>
        </is>
      </c>
      <c r="C437" t="inlineStr">
        <is>
          <t>aditya.c@osmosys.co</t>
        </is>
      </c>
      <c r="D437" t="inlineStr">
        <is>
          <t>incident-reporter</t>
        </is>
      </c>
      <c r="E437">
        <f>HYPERLINK("http://gitlab.osmosys.co/incident-reporter/incident-reporter-angular-portal", "OQSHA Portal")</f>
        <v/>
      </c>
      <c r="F437">
        <f>HYPERLINK("http://gitlab.osmosys.co/incident-reporter/incident-reporter-angular-portal/-/merge_requests/3641", "fix: update header and time format in batches")</f>
        <v/>
      </c>
      <c r="G437" t="inlineStr">
        <is>
          <t>fix/date-time-batches</t>
        </is>
      </c>
      <c r="H437" t="inlineStr">
        <is>
          <t>sprint-18</t>
        </is>
      </c>
      <c r="I437" t="inlineStr">
        <is>
          <t>merged</t>
        </is>
      </c>
      <c r="J437" t="inlineStr">
        <is>
          <t>3df7b9a387fa90c5478994fd4a942602cc0b0cbd</t>
        </is>
      </c>
      <c r="K437">
        <f>HYPERLINK("http://gitlab.osmosys.co/incident-reporter/incident-reporter-angular-portal/-/merge_requests/3641#note_243627", "![image](/uploads/320bff48f758f7e7f3e507b47a05e6a0/image.png){width=1437 height=680}
Already updated in code and this field is for starting of a course - we will never practically schedule a course with HH:MM:**SS**
And yes, I have reported to API lead
![image](/uploads/548d4bfbcba5d8d3a29d14d7930c7be5/image.png){width=981 height=164}")</f>
        <v/>
      </c>
      <c r="L437" t="inlineStr">
        <is>
          <t>2025-07-29 12:46:29.863 IST</t>
        </is>
      </c>
      <c r="M437" t="inlineStr">
        <is>
          <t>Aditya Chakraborty</t>
        </is>
      </c>
      <c r="N437" t="inlineStr">
        <is>
          <t>No</t>
        </is>
      </c>
      <c r="O437" t="inlineStr">
        <is>
          <t>Yes</t>
        </is>
      </c>
      <c r="P437" t="inlineStr">
        <is>
          <t>Soundariya B</t>
        </is>
      </c>
      <c r="Q437" t="inlineStr">
        <is>
          <t>Bad</t>
        </is>
      </c>
    </row>
    <row r="438">
      <c r="A438" t="inlineStr">
        <is>
          <t>aditya.c</t>
        </is>
      </c>
      <c r="B438" t="inlineStr">
        <is>
          <t>Aditya Chakraborty</t>
        </is>
      </c>
      <c r="C438" t="inlineStr">
        <is>
          <t>aditya.c@osmosys.co</t>
        </is>
      </c>
      <c r="D438" t="inlineStr">
        <is>
          <t>incident-reporter</t>
        </is>
      </c>
      <c r="E438">
        <f>HYPERLINK("http://gitlab.osmosys.co/incident-reporter/incident-reporter-angular-portal", "OQSHA Portal")</f>
        <v/>
      </c>
      <c r="F438">
        <f>HYPERLINK("http://gitlab.osmosys.co/incident-reporter/incident-reporter-angular-portal/-/merge_requests/3634", "fix: add enhancements to edit pssr page")</f>
        <v/>
      </c>
      <c r="G438" t="inlineStr">
        <is>
          <t>fix/button-disable</t>
        </is>
      </c>
      <c r="H438" t="inlineStr">
        <is>
          <t>sprint-18</t>
        </is>
      </c>
      <c r="I438" t="inlineStr">
        <is>
          <t>merged</t>
        </is>
      </c>
      <c r="J438" t="inlineStr">
        <is>
          <t>8ad4a2a2b1e7893792cbea441896649379a87315</t>
        </is>
      </c>
      <c r="K438">
        <f>HYPERLINK("http://gitlab.osmosys.co/incident-reporter/incident-reporter-angular-portal/-/merge_requests/3634#note_243678", "Use translate constant.")</f>
        <v/>
      </c>
      <c r="L438" t="inlineStr">
        <is>
          <t>2025-07-29 13:31:31.136 IST</t>
        </is>
      </c>
      <c r="M438" t="inlineStr">
        <is>
          <t>Sameer Shaik</t>
        </is>
      </c>
      <c r="N438" t="inlineStr">
        <is>
          <t>Yes</t>
        </is>
      </c>
      <c r="O438" t="inlineStr">
        <is>
          <t>No</t>
        </is>
      </c>
      <c r="P438" t="inlineStr"/>
      <c r="Q438" t="inlineStr">
        <is>
          <t>Bad</t>
        </is>
      </c>
    </row>
    <row r="439">
      <c r="A439" t="inlineStr">
        <is>
          <t>aditya.c</t>
        </is>
      </c>
      <c r="B439" t="inlineStr">
        <is>
          <t>Aditya Chakraborty</t>
        </is>
      </c>
      <c r="C439" t="inlineStr">
        <is>
          <t>aditya.c@osmosys.co</t>
        </is>
      </c>
      <c r="D439" t="inlineStr">
        <is>
          <t>incident-reporter</t>
        </is>
      </c>
      <c r="E439">
        <f>HYPERLINK("http://gitlab.osmosys.co/incident-reporter/incident-reporter-angular-portal", "OQSHA Portal")</f>
        <v/>
      </c>
      <c r="F439">
        <f>HYPERLINK("http://gitlab.osmosys.co/incident-reporter/incident-reporter-angular-portal/-/merge_requests/3630", "fix: update course header, update ppe time format")</f>
        <v/>
      </c>
      <c r="G439" t="inlineStr">
        <is>
          <t>fix/time-format</t>
        </is>
      </c>
      <c r="H439" t="inlineStr">
        <is>
          <t>sprint-18</t>
        </is>
      </c>
      <c r="I439" t="inlineStr">
        <is>
          <t>merged</t>
        </is>
      </c>
      <c r="J439" t="inlineStr"/>
      <c r="K439" t="inlineStr"/>
      <c r="L439" t="inlineStr"/>
      <c r="M439" t="inlineStr"/>
      <c r="N439" t="inlineStr"/>
      <c r="O439" t="inlineStr"/>
      <c r="P439" t="inlineStr"/>
      <c r="Q439" t="inlineStr"/>
    </row>
    <row r="440">
      <c r="A440" t="inlineStr">
        <is>
          <t>aditya.c</t>
        </is>
      </c>
      <c r="B440" t="inlineStr">
        <is>
          <t>Aditya Chakraborty</t>
        </is>
      </c>
      <c r="C440" t="inlineStr">
        <is>
          <t>aditya.c@osmosys.co</t>
        </is>
      </c>
      <c r="D440" t="inlineStr">
        <is>
          <t>incident-reporter</t>
        </is>
      </c>
      <c r="E440">
        <f>HYPERLINK("http://gitlab.osmosys.co/incident-reporter/incident-reporter-angular-portal", "OQSHA Portal")</f>
        <v/>
      </c>
      <c r="F440">
        <f>HYPERLINK("http://gitlab.osmosys.co/incident-reporter/incident-reporter-angular-portal/-/merge_requests/3628", "fix: handle copy functionality if sections get updated")</f>
        <v/>
      </c>
      <c r="G440" t="inlineStr">
        <is>
          <t>fix/ptw-checks-update</t>
        </is>
      </c>
      <c r="H440" t="inlineStr">
        <is>
          <t>sprint-18</t>
        </is>
      </c>
      <c r="I440" t="inlineStr">
        <is>
          <t>merged</t>
        </is>
      </c>
      <c r="J440" t="inlineStr">
        <is>
          <t>6ce58d71e6560b729f709aa1b098bd641a399ac6</t>
        </is>
      </c>
      <c r="K440">
        <f>HYPERLINK("http://gitlab.osmosys.co/incident-reporter/incident-reporter-angular-portal/-/merge_requests/3628#note_243285", "Don't use any data type")</f>
        <v/>
      </c>
      <c r="L440" t="inlineStr">
        <is>
          <t>2025-07-28 19:56:34.705 IST</t>
        </is>
      </c>
      <c r="M440" t="inlineStr">
        <is>
          <t>Soundariya B</t>
        </is>
      </c>
      <c r="N440" t="inlineStr">
        <is>
          <t>Yes</t>
        </is>
      </c>
      <c r="O440" t="inlineStr">
        <is>
          <t>Yes</t>
        </is>
      </c>
      <c r="P440" t="inlineStr">
        <is>
          <t>Soundariya B</t>
        </is>
      </c>
      <c r="Q440" t="inlineStr">
        <is>
          <t>Bad</t>
        </is>
      </c>
    </row>
    <row r="441">
      <c r="A441" t="inlineStr">
        <is>
          <t>aditya.c</t>
        </is>
      </c>
      <c r="B441" t="inlineStr">
        <is>
          <t>Aditya Chakraborty</t>
        </is>
      </c>
      <c r="C441" t="inlineStr">
        <is>
          <t>aditya.c@osmosys.co</t>
        </is>
      </c>
      <c r="D441" t="inlineStr">
        <is>
          <t>incident-reporter</t>
        </is>
      </c>
      <c r="E441">
        <f>HYPERLINK("http://gitlab.osmosys.co/incident-reporter/incident-reporter-angular-portal", "OQSHA Portal")</f>
        <v/>
      </c>
      <c r="F441">
        <f>HYPERLINK("http://gitlab.osmosys.co/incident-reporter/incident-reporter-angular-portal/-/merge_requests/3628", "fix: handle copy functionality if sections get updated")</f>
        <v/>
      </c>
      <c r="G441" t="inlineStr">
        <is>
          <t>fix/ptw-checks-update</t>
        </is>
      </c>
      <c r="H441" t="inlineStr">
        <is>
          <t>sprint-18</t>
        </is>
      </c>
      <c r="I441" t="inlineStr">
        <is>
          <t>merged</t>
        </is>
      </c>
      <c r="J441" t="inlineStr">
        <is>
          <t>4defed75634cfb789536b1e9bd404fa4a025be03</t>
        </is>
      </c>
      <c r="K441">
        <f>HYPERLINK("http://gitlab.osmosys.co/incident-reporter/incident-reporter-angular-portal/-/merge_requests/3628#note_243286", "Give meaningful variable name like src")</f>
        <v/>
      </c>
      <c r="L441" t="inlineStr">
        <is>
          <t>2025-07-28 19:56:34.790 IST</t>
        </is>
      </c>
      <c r="M441" t="inlineStr">
        <is>
          <t>Soundariya B</t>
        </is>
      </c>
      <c r="N441" t="inlineStr">
        <is>
          <t>Yes</t>
        </is>
      </c>
      <c r="O441" t="inlineStr">
        <is>
          <t>Yes</t>
        </is>
      </c>
      <c r="P441" t="inlineStr">
        <is>
          <t>Soundariya B</t>
        </is>
      </c>
      <c r="Q441" t="inlineStr">
        <is>
          <t>Bad</t>
        </is>
      </c>
    </row>
    <row r="442">
      <c r="A442" t="inlineStr">
        <is>
          <t>aditya.c</t>
        </is>
      </c>
      <c r="B442" t="inlineStr">
        <is>
          <t>Aditya Chakraborty</t>
        </is>
      </c>
      <c r="C442" t="inlineStr">
        <is>
          <t>aditya.c@osmosys.co</t>
        </is>
      </c>
      <c r="D442" t="inlineStr">
        <is>
          <t>incident-reporter</t>
        </is>
      </c>
      <c r="E442">
        <f>HYPERLINK("http://gitlab.osmosys.co/incident-reporter/incident-reporter-angular-portal", "OQSHA Portal")</f>
        <v/>
      </c>
      <c r="F442">
        <f>HYPERLINK("http://gitlab.osmosys.co/incident-reporter/incident-reporter-angular-portal/-/merge_requests/3628", "fix: handle copy functionality if sections get updated")</f>
        <v/>
      </c>
      <c r="G442" t="inlineStr">
        <is>
          <t>fix/ptw-checks-update</t>
        </is>
      </c>
      <c r="H442" t="inlineStr">
        <is>
          <t>sprint-18</t>
        </is>
      </c>
      <c r="I442" t="inlineStr">
        <is>
          <t>merged</t>
        </is>
      </c>
      <c r="J442" t="inlineStr">
        <is>
          <t>db900a3e44e4bfc36c459ac1e8a64119041f6552</t>
        </is>
      </c>
      <c r="K442">
        <f>HYPERLINK("http://gitlab.osmosys.co/incident-reporter/incident-reporter-angular-portal/-/merge_requests/3628#note_243287", "Please add the comment what is happening here and its a bit confusing to understand")</f>
        <v/>
      </c>
      <c r="L442" t="inlineStr">
        <is>
          <t>2025-07-28 19:56:34.868 IST</t>
        </is>
      </c>
      <c r="M442" t="inlineStr">
        <is>
          <t>Soundariya B</t>
        </is>
      </c>
      <c r="N442" t="inlineStr">
        <is>
          <t>Yes</t>
        </is>
      </c>
      <c r="O442" t="inlineStr">
        <is>
          <t>Yes</t>
        </is>
      </c>
      <c r="P442" t="inlineStr">
        <is>
          <t>Soundariya B</t>
        </is>
      </c>
      <c r="Q442" t="inlineStr">
        <is>
          <t>Bad</t>
        </is>
      </c>
    </row>
    <row r="443">
      <c r="A443" t="inlineStr">
        <is>
          <t>aditya.c</t>
        </is>
      </c>
      <c r="B443" t="inlineStr">
        <is>
          <t>Aditya Chakraborty</t>
        </is>
      </c>
      <c r="C443" t="inlineStr">
        <is>
          <t>aditya.c@osmosys.co</t>
        </is>
      </c>
      <c r="D443" t="inlineStr">
        <is>
          <t>incident-reporter</t>
        </is>
      </c>
      <c r="E443">
        <f>HYPERLINK("http://gitlab.osmosys.co/incident-reporter/incident-reporter-angular-portal", "OQSHA Portal")</f>
        <v/>
      </c>
      <c r="F443">
        <f>HYPERLINK("http://gitlab.osmosys.co/incident-reporter/incident-reporter-angular-portal/-/merge_requests/3628", "fix: handle copy functionality if sections get updated")</f>
        <v/>
      </c>
      <c r="G443" t="inlineStr">
        <is>
          <t>fix/ptw-checks-update</t>
        </is>
      </c>
      <c r="H443" t="inlineStr">
        <is>
          <t>sprint-18</t>
        </is>
      </c>
      <c r="I443" t="inlineStr">
        <is>
          <t>merged</t>
        </is>
      </c>
      <c r="J443" t="inlineStr">
        <is>
          <t>f076eb4bed62a3e04360271d4246f3e174154405</t>
        </is>
      </c>
      <c r="K443">
        <f>HYPERLINK("http://gitlab.osmosys.co/incident-reporter/incident-reporter-angular-portal/-/merge_requests/3628#note_243288", "Same here")</f>
        <v/>
      </c>
      <c r="L443" t="inlineStr">
        <is>
          <t>2025-07-28 19:56:34.936 IST</t>
        </is>
      </c>
      <c r="M443" t="inlineStr">
        <is>
          <t>Soundariya B</t>
        </is>
      </c>
      <c r="N443" t="inlineStr">
        <is>
          <t>Yes</t>
        </is>
      </c>
      <c r="O443" t="inlineStr">
        <is>
          <t>Yes</t>
        </is>
      </c>
      <c r="P443" t="inlineStr">
        <is>
          <t>Soundariya B</t>
        </is>
      </c>
      <c r="Q443" t="inlineStr">
        <is>
          <t>Bad</t>
        </is>
      </c>
    </row>
    <row r="444">
      <c r="A444" t="inlineStr">
        <is>
          <t>aditya.c</t>
        </is>
      </c>
      <c r="B444" t="inlineStr">
        <is>
          <t>Aditya Chakraborty</t>
        </is>
      </c>
      <c r="C444" t="inlineStr">
        <is>
          <t>aditya.c@osmosys.co</t>
        </is>
      </c>
      <c r="D444" t="inlineStr">
        <is>
          <t>incident-reporter</t>
        </is>
      </c>
      <c r="E444">
        <f>HYPERLINK("http://gitlab.osmosys.co/incident-reporter/incident-reporter-angular-portal", "OQSHA Portal")</f>
        <v/>
      </c>
      <c r="F444">
        <f>HYPERLINK("http://gitlab.osmosys.co/incident-reporter/incident-reporter-angular-portal/-/merge_requests/3618", "fix: update PSSR draft logic by sending PSSR id in approver list")</f>
        <v/>
      </c>
      <c r="G444" t="inlineStr">
        <is>
          <t>fix/pssr-approval</t>
        </is>
      </c>
      <c r="H444" t="inlineStr">
        <is>
          <t>sprint-18</t>
        </is>
      </c>
      <c r="I444" t="inlineStr">
        <is>
          <t>merged</t>
        </is>
      </c>
      <c r="J444" t="inlineStr">
        <is>
          <t>737cb4fff73cf4c8232911de5086d887e6bb506e</t>
        </is>
      </c>
      <c r="K444">
        <f>HYPERLINK("http://gitlab.osmosys.co/incident-reporter/incident-reporter-angular-portal/-/merge_requests/3618#note_242879", "Isn't `i++` equals to `i += 1`? Please add as i++ as it is more familiar?
Also, can't we use function like foreach in TS? This is a more elegant way to loop through lists.
Do this in all places.")</f>
        <v/>
      </c>
      <c r="L444" t="inlineStr">
        <is>
          <t>2025-07-28 12:57:10.309 IST</t>
        </is>
      </c>
      <c r="M444" t="inlineStr">
        <is>
          <t>Sameer Shaik</t>
        </is>
      </c>
      <c r="N444" t="inlineStr">
        <is>
          <t>Yes</t>
        </is>
      </c>
      <c r="O444" t="inlineStr">
        <is>
          <t>Yes</t>
        </is>
      </c>
      <c r="P444" t="inlineStr">
        <is>
          <t>Soundariya B</t>
        </is>
      </c>
      <c r="Q444" t="inlineStr">
        <is>
          <t>Bad</t>
        </is>
      </c>
    </row>
    <row r="445">
      <c r="A445" t="inlineStr">
        <is>
          <t>aditya.c</t>
        </is>
      </c>
      <c r="B445" t="inlineStr">
        <is>
          <t>Aditya Chakraborty</t>
        </is>
      </c>
      <c r="C445" t="inlineStr">
        <is>
          <t>aditya.c@osmosys.co</t>
        </is>
      </c>
      <c r="D445" t="inlineStr">
        <is>
          <t>incident-reporter</t>
        </is>
      </c>
      <c r="E445">
        <f>HYPERLINK("http://gitlab.osmosys.co/incident-reporter/incident-reporter-angular-portal", "OQSHA Portal")</f>
        <v/>
      </c>
      <c r="F445">
        <f>HYPERLINK("http://gitlab.osmosys.co/incident-reporter/incident-reporter-angular-portal/-/merge_requests/3618", "fix: update PSSR draft logic by sending PSSR id in approver list")</f>
        <v/>
      </c>
      <c r="G445" t="inlineStr">
        <is>
          <t>fix/pssr-approval</t>
        </is>
      </c>
      <c r="H445" t="inlineStr">
        <is>
          <t>sprint-18</t>
        </is>
      </c>
      <c r="I445" t="inlineStr">
        <is>
          <t>merged</t>
        </is>
      </c>
      <c r="J445" t="inlineStr">
        <is>
          <t>99db150ba709119dff500ef592b7deb84d6a838e</t>
        </is>
      </c>
      <c r="K445">
        <f>HYPERLINK("http://gitlab.osmosys.co/incident-reporter/incident-reporter-angular-portal/-/merge_requests/3618#note_242880", "Please use if / else condition block. This is not user friendly and intuitive to read.")</f>
        <v/>
      </c>
      <c r="L445" t="inlineStr">
        <is>
          <t>2025-07-28 12:57:10.404 IST</t>
        </is>
      </c>
      <c r="M445" t="inlineStr">
        <is>
          <t>Sameer Shaik</t>
        </is>
      </c>
      <c r="N445" t="inlineStr">
        <is>
          <t>Yes</t>
        </is>
      </c>
      <c r="O445" t="inlineStr">
        <is>
          <t>Yes</t>
        </is>
      </c>
      <c r="P445" t="inlineStr">
        <is>
          <t>Soundariya B</t>
        </is>
      </c>
      <c r="Q445" t="inlineStr">
        <is>
          <t>Bad</t>
        </is>
      </c>
    </row>
    <row r="446">
      <c r="A446" t="inlineStr">
        <is>
          <t>aditya.c</t>
        </is>
      </c>
      <c r="B446" t="inlineStr">
        <is>
          <t>Aditya Chakraborty</t>
        </is>
      </c>
      <c r="C446" t="inlineStr">
        <is>
          <t>aditya.c@osmosys.co</t>
        </is>
      </c>
      <c r="D446" t="inlineStr">
        <is>
          <t>incident-reporter</t>
        </is>
      </c>
      <c r="E446">
        <f>HYPERLINK("http://gitlab.osmosys.co/incident-reporter/incident-reporter-angular-portal", "OQSHA Portal")</f>
        <v/>
      </c>
      <c r="F446">
        <f>HYPERLINK("http://gitlab.osmosys.co/incident-reporter/incident-reporter-angular-portal/-/merge_requests/3618", "fix: update PSSR draft logic by sending PSSR id in approver list")</f>
        <v/>
      </c>
      <c r="G446" t="inlineStr">
        <is>
          <t>fix/pssr-approval</t>
        </is>
      </c>
      <c r="H446" t="inlineStr">
        <is>
          <t>sprint-18</t>
        </is>
      </c>
      <c r="I446" t="inlineStr">
        <is>
          <t>merged</t>
        </is>
      </c>
      <c r="J446" t="inlineStr">
        <is>
          <t>99db150ba709119dff500ef592b7deb84d6a838e</t>
        </is>
      </c>
      <c r="K446">
        <f>HYPERLINK("http://gitlab.osmosys.co/incident-reporter/incident-reporter-angular-portal/-/merge_requests/3618#note_242985", "Updated base logic")</f>
        <v/>
      </c>
      <c r="L446" t="inlineStr">
        <is>
          <t>2025-07-28 14:25:10.426 IST</t>
        </is>
      </c>
      <c r="M446" t="inlineStr">
        <is>
          <t>Aditya Chakraborty</t>
        </is>
      </c>
      <c r="N446" t="inlineStr">
        <is>
          <t>No</t>
        </is>
      </c>
      <c r="O446" t="inlineStr">
        <is>
          <t>Yes</t>
        </is>
      </c>
      <c r="P446" t="inlineStr">
        <is>
          <t>Soundariya B</t>
        </is>
      </c>
      <c r="Q446" t="inlineStr">
        <is>
          <t>Bad</t>
        </is>
      </c>
    </row>
    <row r="447">
      <c r="A447" t="inlineStr">
        <is>
          <t>aditya.c</t>
        </is>
      </c>
      <c r="B447" t="inlineStr">
        <is>
          <t>Aditya Chakraborty</t>
        </is>
      </c>
      <c r="C447" t="inlineStr">
        <is>
          <t>aditya.c@osmosys.co</t>
        </is>
      </c>
      <c r="D447" t="inlineStr">
        <is>
          <t>incident-reporter</t>
        </is>
      </c>
      <c r="E447">
        <f>HYPERLINK("http://gitlab.osmosys.co/incident-reporter/incident-reporter-angular-portal", "OQSHA Portal")</f>
        <v/>
      </c>
      <c r="F447">
        <f>HYPERLINK("http://gitlab.osmosys.co/incident-reporter/incident-reporter-angular-portal/-/merge_requests/3618", "fix: update PSSR draft logic by sending PSSR id in approver list")</f>
        <v/>
      </c>
      <c r="G447" t="inlineStr">
        <is>
          <t>fix/pssr-approval</t>
        </is>
      </c>
      <c r="H447" t="inlineStr">
        <is>
          <t>sprint-18</t>
        </is>
      </c>
      <c r="I447" t="inlineStr">
        <is>
          <t>merged</t>
        </is>
      </c>
      <c r="J447" t="inlineStr">
        <is>
          <t>627aabe7e13a94b8a9315c55b809857e1498ddf6</t>
        </is>
      </c>
      <c r="K447">
        <f>HYPERLINK("http://gitlab.osmosys.co/incident-reporter/incident-reporter-angular-portal/-/merge_requests/3618#note_242881", "Be more explicit with the comparison? Is this a NULL check or undefined check? It improves readability and also makes the code more predictable during execution.")</f>
        <v/>
      </c>
      <c r="L447" t="inlineStr">
        <is>
          <t>2025-07-28 12:57:10.466 IST</t>
        </is>
      </c>
      <c r="M447" t="inlineStr">
        <is>
          <t>Sameer Shaik</t>
        </is>
      </c>
      <c r="N447" t="inlineStr">
        <is>
          <t>Yes</t>
        </is>
      </c>
      <c r="O447" t="inlineStr">
        <is>
          <t>Yes</t>
        </is>
      </c>
      <c r="P447" t="inlineStr">
        <is>
          <t>Soundariya B</t>
        </is>
      </c>
      <c r="Q447" t="inlineStr">
        <is>
          <t>Bad</t>
        </is>
      </c>
    </row>
    <row r="448">
      <c r="A448" t="inlineStr">
        <is>
          <t>aditya.c</t>
        </is>
      </c>
      <c r="B448" t="inlineStr">
        <is>
          <t>Aditya Chakraborty</t>
        </is>
      </c>
      <c r="C448" t="inlineStr">
        <is>
          <t>aditya.c@osmosys.co</t>
        </is>
      </c>
      <c r="D448" t="inlineStr">
        <is>
          <t>incident-reporter</t>
        </is>
      </c>
      <c r="E448">
        <f>HYPERLINK("http://gitlab.osmosys.co/incident-reporter/incident-reporter-angular-portal", "OQSHA Portal")</f>
        <v/>
      </c>
      <c r="F448">
        <f>HYPERLINK("http://gitlab.osmosys.co/incident-reporter/incident-reporter-angular-portal/-/merge_requests/3616", "fix: update subchecks and copy PTW logic")</f>
        <v/>
      </c>
      <c r="G448" t="inlineStr">
        <is>
          <t>fix/subchecks-copy-portal</t>
        </is>
      </c>
      <c r="H448" t="inlineStr">
        <is>
          <t>sprint-18</t>
        </is>
      </c>
      <c r="I448" t="inlineStr">
        <is>
          <t>merged</t>
        </is>
      </c>
      <c r="J448" t="inlineStr"/>
      <c r="K448" t="inlineStr"/>
      <c r="L448" t="inlineStr"/>
      <c r="M448" t="inlineStr"/>
      <c r="N448" t="inlineStr"/>
      <c r="O448" t="inlineStr"/>
      <c r="P448" t="inlineStr"/>
      <c r="Q448" t="inlineStr"/>
    </row>
    <row r="449">
      <c r="A449" t="inlineStr">
        <is>
          <t>aditya.c</t>
        </is>
      </c>
      <c r="B449" t="inlineStr">
        <is>
          <t>Aditya Chakraborty</t>
        </is>
      </c>
      <c r="C449" t="inlineStr">
        <is>
          <t>aditya.c@osmosys.co</t>
        </is>
      </c>
      <c r="D449" t="inlineStr">
        <is>
          <t>incident-reporter</t>
        </is>
      </c>
      <c r="E449">
        <f>HYPERLINK("http://gitlab.osmosys.co/incident-reporter/incident-reporter-angular-portal", "OQSHA Portal")</f>
        <v/>
      </c>
      <c r="F449">
        <f>HYPERLINK("http://gitlab.osmosys.co/incident-reporter/incident-reporter-angular-portal/-/merge_requests/3615", "fix: update logic of handling checks in add edit pssr page")</f>
        <v/>
      </c>
      <c r="G449" t="inlineStr">
        <is>
          <t>fix/pssr-approval</t>
        </is>
      </c>
      <c r="H449" t="inlineStr">
        <is>
          <t>sprint-18</t>
        </is>
      </c>
      <c r="I449" t="inlineStr">
        <is>
          <t>merged</t>
        </is>
      </c>
      <c r="J449" t="inlineStr"/>
      <c r="K449" t="inlineStr"/>
      <c r="L449" t="inlineStr"/>
      <c r="M449" t="inlineStr"/>
      <c r="N449" t="inlineStr"/>
      <c r="O449" t="inlineStr"/>
      <c r="P449" t="inlineStr"/>
      <c r="Q449" t="inlineStr"/>
    </row>
    <row r="450">
      <c r="A450" t="inlineStr">
        <is>
          <t>aditya.c</t>
        </is>
      </c>
      <c r="B450" t="inlineStr">
        <is>
          <t>Aditya Chakraborty</t>
        </is>
      </c>
      <c r="C450" t="inlineStr">
        <is>
          <t>aditya.c@osmosys.co</t>
        </is>
      </c>
      <c r="D450" t="inlineStr">
        <is>
          <t>incident-reporter</t>
        </is>
      </c>
      <c r="E450">
        <f>HYPERLINK("http://gitlab.osmosys.co/incident-reporter/incident-reporter-angular-portal", "OQSHA Portal")</f>
        <v/>
      </c>
      <c r="F450">
        <f>HYPERLINK("http://gitlab.osmosys.co/incident-reporter/incident-reporter-angular-portal/-/merge_requests/3613", "fix: update sections rendering logic in copy")</f>
        <v/>
      </c>
      <c r="G450" t="inlineStr">
        <is>
          <t>fix/subchecks-copy</t>
        </is>
      </c>
      <c r="H450" t="inlineStr">
        <is>
          <t>sprint-18</t>
        </is>
      </c>
      <c r="I450" t="inlineStr">
        <is>
          <t>merged</t>
        </is>
      </c>
      <c r="J450" t="inlineStr"/>
      <c r="K450" t="inlineStr"/>
      <c r="L450" t="inlineStr"/>
      <c r="M450" t="inlineStr"/>
      <c r="N450" t="inlineStr"/>
      <c r="O450" t="inlineStr"/>
      <c r="P450" t="inlineStr"/>
      <c r="Q450" t="inlineStr"/>
    </row>
    <row r="451">
      <c r="A451" t="inlineStr">
        <is>
          <t>aditya.c</t>
        </is>
      </c>
      <c r="B451" t="inlineStr">
        <is>
          <t>Aditya Chakraborty</t>
        </is>
      </c>
      <c r="C451" t="inlineStr">
        <is>
          <t>aditya.c@osmosys.co</t>
        </is>
      </c>
      <c r="D451" t="inlineStr">
        <is>
          <t>incident-reporter</t>
        </is>
      </c>
      <c r="E451">
        <f>HYPERLINK("http://gitlab.osmosys.co/incident-reporter/incident-reporter-angular-portal", "OQSHA Portal")</f>
        <v/>
      </c>
      <c r="F451">
        <f>HYPERLINK("http://gitlab.osmosys.co/incident-reporter/incident-reporter-angular-portal/-/merge_requests/3608", "feat: add tasks grid to edit pssr page")</f>
        <v/>
      </c>
      <c r="G451" t="inlineStr">
        <is>
          <t>feat/add-tasks-grid</t>
        </is>
      </c>
      <c r="H451" t="inlineStr">
        <is>
          <t>sprint-18</t>
        </is>
      </c>
      <c r="I451" t="inlineStr">
        <is>
          <t>merged</t>
        </is>
      </c>
      <c r="J451" t="inlineStr"/>
      <c r="K451" t="inlineStr"/>
      <c r="L451" t="inlineStr"/>
      <c r="M451" t="inlineStr"/>
      <c r="N451" t="inlineStr"/>
      <c r="O451" t="inlineStr"/>
      <c r="P451" t="inlineStr"/>
      <c r="Q451" t="inlineStr"/>
    </row>
    <row r="452">
      <c r="A452" t="inlineStr">
        <is>
          <t>aditya.c</t>
        </is>
      </c>
      <c r="B452" t="inlineStr">
        <is>
          <t>Aditya Chakraborty</t>
        </is>
      </c>
      <c r="C452" t="inlineStr">
        <is>
          <t>aditya.c@osmosys.co</t>
        </is>
      </c>
      <c r="D452" t="inlineStr">
        <is>
          <t>incident-reporter</t>
        </is>
      </c>
      <c r="E452">
        <f>HYPERLINK("http://gitlab.osmosys.co/incident-reporter/incident-reporter-angular-portal", "OQSHA Portal")</f>
        <v/>
      </c>
      <c r="F452">
        <f>HYPERLINK("http://gitlab.osmosys.co/incident-reporter/incident-reporter-angular-portal/-/merge_requests/3596", "feat: add associated moc accordion in edit pssr page")</f>
        <v/>
      </c>
      <c r="G452" t="inlineStr">
        <is>
          <t>feat/add-moc-details</t>
        </is>
      </c>
      <c r="H452" t="inlineStr">
        <is>
          <t>sprint-18</t>
        </is>
      </c>
      <c r="I452" t="inlineStr">
        <is>
          <t>merged</t>
        </is>
      </c>
      <c r="J452" t="inlineStr">
        <is>
          <t>e1722c11c3b4ada2cf0aeaa21cbf2ee67ec25f6b</t>
        </is>
      </c>
      <c r="K452">
        <f>HYPERLINK("http://gitlab.osmosys.co/incident-reporter/incident-reporter-angular-portal/-/merge_requests/3596#note_242333", "* Reduce the space - in each row top and bottom 
* remove the very row bottom border
* Seems that the config field labels font weight is more than other can you please make it uniform as others")</f>
        <v/>
      </c>
      <c r="L452" t="inlineStr">
        <is>
          <t>2025-07-26 00:41:24.819 IST</t>
        </is>
      </c>
      <c r="M452" t="inlineStr">
        <is>
          <t>Soundariya B</t>
        </is>
      </c>
      <c r="N452" t="inlineStr">
        <is>
          <t>Yes</t>
        </is>
      </c>
      <c r="O452" t="inlineStr">
        <is>
          <t>Yes</t>
        </is>
      </c>
      <c r="P452" t="inlineStr">
        <is>
          <t>Raj Kumar</t>
        </is>
      </c>
      <c r="Q452" t="inlineStr">
        <is>
          <t>Bad</t>
        </is>
      </c>
    </row>
    <row r="453">
      <c r="A453" t="inlineStr">
        <is>
          <t>aditya.c</t>
        </is>
      </c>
      <c r="B453" t="inlineStr">
        <is>
          <t>Aditya Chakraborty</t>
        </is>
      </c>
      <c r="C453" t="inlineStr">
        <is>
          <t>aditya.c@osmosys.co</t>
        </is>
      </c>
      <c r="D453" t="inlineStr">
        <is>
          <t>incident-reporter</t>
        </is>
      </c>
      <c r="E453">
        <f>HYPERLINK("http://gitlab.osmosys.co/incident-reporter/incident-reporter-angular-portal", "OQSHA Portal")</f>
        <v/>
      </c>
      <c r="F453">
        <f>HYPERLINK("http://gitlab.osmosys.co/incident-reporter/incident-reporter-angular-portal/-/merge_requests/3596", "feat: add associated moc accordion in edit pssr page")</f>
        <v/>
      </c>
      <c r="G453" t="inlineStr">
        <is>
          <t>feat/add-moc-details</t>
        </is>
      </c>
      <c r="H453" t="inlineStr">
        <is>
          <t>sprint-18</t>
        </is>
      </c>
      <c r="I453" t="inlineStr">
        <is>
          <t>merged</t>
        </is>
      </c>
      <c r="J453" t="inlineStr">
        <is>
          <t>e1722c11c3b4ada2cf0aeaa21cbf2ee67ec25f6b</t>
        </is>
      </c>
      <c r="K453">
        <f>HYPERLINK("http://gitlab.osmosys.co/incident-reporter/incident-reporter-angular-portal/-/merge_requests/3596#note_242447", "![image](/uploads/8bdbd4a0944b30ea0b412c95fca44789/image.png){width=1437 height=634}
Updated")</f>
        <v/>
      </c>
      <c r="L453" t="inlineStr">
        <is>
          <t>2025-07-26 05:35:04.910 IST</t>
        </is>
      </c>
      <c r="M453" t="inlineStr">
        <is>
          <t>Aditya Chakraborty</t>
        </is>
      </c>
      <c r="N453" t="inlineStr">
        <is>
          <t>No</t>
        </is>
      </c>
      <c r="O453" t="inlineStr">
        <is>
          <t>Yes</t>
        </is>
      </c>
      <c r="P453" t="inlineStr">
        <is>
          <t>Raj Kumar</t>
        </is>
      </c>
      <c r="Q453" t="inlineStr">
        <is>
          <t>Bad</t>
        </is>
      </c>
    </row>
    <row r="454">
      <c r="A454" t="inlineStr">
        <is>
          <t>aditya.c</t>
        </is>
      </c>
      <c r="B454" t="inlineStr">
        <is>
          <t>Aditya Chakraborty</t>
        </is>
      </c>
      <c r="C454" t="inlineStr">
        <is>
          <t>aditya.c@osmosys.co</t>
        </is>
      </c>
      <c r="D454" t="inlineStr">
        <is>
          <t>incident-reporter</t>
        </is>
      </c>
      <c r="E454">
        <f>HYPERLINK("http://gitlab.osmosys.co/incident-reporter/incident-reporter-angular-portal", "OQSHA Portal")</f>
        <v/>
      </c>
      <c r="F454">
        <f>HYPERLINK("http://gitlab.osmosys.co/incident-reporter/incident-reporter-angular-portal/-/merge_requests/3596", "feat: add associated moc accordion in edit pssr page")</f>
        <v/>
      </c>
      <c r="G454" t="inlineStr">
        <is>
          <t>feat/add-moc-details</t>
        </is>
      </c>
      <c r="H454" t="inlineStr">
        <is>
          <t>sprint-18</t>
        </is>
      </c>
      <c r="I454" t="inlineStr">
        <is>
          <t>merged</t>
        </is>
      </c>
      <c r="J454" t="inlineStr">
        <is>
          <t>e40abb2ed4a2618924db9a88bcece685a868f0be</t>
        </is>
      </c>
      <c r="K454">
        <f>HYPERLINK("http://gitlab.osmosys.co/incident-reporter/incident-reporter-angular-portal/-/merge_requests/3596#note_242334", "Already its mentioned in the task that reuse the MOC details component itself then again why you wrote the code?
![image.png](/uploads/d95b85bec5506529b72bf5f03d1118ad/image.png)")</f>
        <v/>
      </c>
      <c r="L454" t="inlineStr">
        <is>
          <t>2025-07-26 00:41:24.897 IST</t>
        </is>
      </c>
      <c r="M454" t="inlineStr">
        <is>
          <t>Soundariya B</t>
        </is>
      </c>
      <c r="N454" t="inlineStr">
        <is>
          <t>Yes</t>
        </is>
      </c>
      <c r="O454" t="inlineStr">
        <is>
          <t>Yes</t>
        </is>
      </c>
      <c r="P454" t="inlineStr">
        <is>
          <t>Raj Kumar</t>
        </is>
      </c>
      <c r="Q454" t="inlineStr">
        <is>
          <t>Bad</t>
        </is>
      </c>
    </row>
    <row r="455">
      <c r="A455" t="inlineStr">
        <is>
          <t>aditya.c</t>
        </is>
      </c>
      <c r="B455" t="inlineStr">
        <is>
          <t>Aditya Chakraborty</t>
        </is>
      </c>
      <c r="C455" t="inlineStr">
        <is>
          <t>aditya.c@osmosys.co</t>
        </is>
      </c>
      <c r="D455" t="inlineStr">
        <is>
          <t>incident-reporter</t>
        </is>
      </c>
      <c r="E455">
        <f>HYPERLINK("http://gitlab.osmosys.co/incident-reporter/incident-reporter-angular-portal", "OQSHA Portal")</f>
        <v/>
      </c>
      <c r="F455">
        <f>HYPERLINK("http://gitlab.osmosys.co/incident-reporter/incident-reporter-angular-portal/-/merge_requests/3596", "feat: add associated moc accordion in edit pssr page")</f>
        <v/>
      </c>
      <c r="G455" t="inlineStr">
        <is>
          <t>feat/add-moc-details</t>
        </is>
      </c>
      <c r="H455" t="inlineStr">
        <is>
          <t>sprint-18</t>
        </is>
      </c>
      <c r="I455" t="inlineStr">
        <is>
          <t>merged</t>
        </is>
      </c>
      <c r="J455" t="inlineStr">
        <is>
          <t>e40abb2ed4a2618924db9a88bcece685a868f0be</t>
        </is>
      </c>
      <c r="K455">
        <f>HYPERLINK("http://gitlab.osmosys.co/incident-reporter/incident-reporter-angular-portal/-/merge_requests/3596#note_242440", "I tried originally in that manner - due to some issues I could not render it on screen
Due to deadline currently implementing in this manner
Tasks has been done in reusable grid component")</f>
        <v/>
      </c>
      <c r="L455" t="inlineStr">
        <is>
          <t>2025-07-26 05:15:54.974 IST</t>
        </is>
      </c>
      <c r="M455" t="inlineStr">
        <is>
          <t>Aditya Chakraborty</t>
        </is>
      </c>
      <c r="N455" t="inlineStr">
        <is>
          <t>No</t>
        </is>
      </c>
      <c r="O455" t="inlineStr">
        <is>
          <t>Yes</t>
        </is>
      </c>
      <c r="P455" t="inlineStr">
        <is>
          <t>Raj Kumar</t>
        </is>
      </c>
      <c r="Q455" t="inlineStr">
        <is>
          <t>Bad</t>
        </is>
      </c>
    </row>
    <row r="456">
      <c r="A456" t="inlineStr">
        <is>
          <t>aditya.c</t>
        </is>
      </c>
      <c r="B456" t="inlineStr">
        <is>
          <t>Aditya Chakraborty</t>
        </is>
      </c>
      <c r="C456" t="inlineStr">
        <is>
          <t>aditya.c@osmosys.co</t>
        </is>
      </c>
      <c r="D456" t="inlineStr">
        <is>
          <t>incident-reporter</t>
        </is>
      </c>
      <c r="E456">
        <f>HYPERLINK("http://gitlab.osmosys.co/incident-reporter/incident-reporter-angular-portal", "OQSHA Portal")</f>
        <v/>
      </c>
      <c r="F456">
        <f>HYPERLINK("http://gitlab.osmosys.co/incident-reporter/incident-reporter-angular-portal/-/merge_requests/3596", "feat: add associated moc accordion in edit pssr page")</f>
        <v/>
      </c>
      <c r="G456" t="inlineStr">
        <is>
          <t>feat/add-moc-details</t>
        </is>
      </c>
      <c r="H456" t="inlineStr">
        <is>
          <t>sprint-18</t>
        </is>
      </c>
      <c r="I456" t="inlineStr">
        <is>
          <t>merged</t>
        </is>
      </c>
      <c r="J456" t="inlineStr">
        <is>
          <t>02880961aa04b98ed8c98f51ba578da0de50c2d4</t>
        </is>
      </c>
      <c r="K456">
        <f>HYPERLINK("http://gitlab.osmosys.co/incident-reporter/incident-reporter-angular-portal/-/merge_requests/3596#note_242335", "Get hardcoded text from lang files -- Fix it everywhere")</f>
        <v/>
      </c>
      <c r="L456" t="inlineStr">
        <is>
          <t>2025-07-26 00:41:24.973 IST</t>
        </is>
      </c>
      <c r="M456" t="inlineStr">
        <is>
          <t>Soundariya B</t>
        </is>
      </c>
      <c r="N456" t="inlineStr">
        <is>
          <t>Yes</t>
        </is>
      </c>
      <c r="O456" t="inlineStr">
        <is>
          <t>Yes</t>
        </is>
      </c>
      <c r="P456" t="inlineStr">
        <is>
          <t>Raj Kumar</t>
        </is>
      </c>
      <c r="Q456" t="inlineStr">
        <is>
          <t>Bad</t>
        </is>
      </c>
    </row>
    <row r="457">
      <c r="A457" t="inlineStr">
        <is>
          <t>aditya.c</t>
        </is>
      </c>
      <c r="B457" t="inlineStr">
        <is>
          <t>Aditya Chakraborty</t>
        </is>
      </c>
      <c r="C457" t="inlineStr">
        <is>
          <t>aditya.c@osmosys.co</t>
        </is>
      </c>
      <c r="D457" t="inlineStr">
        <is>
          <t>incident-reporter</t>
        </is>
      </c>
      <c r="E457">
        <f>HYPERLINK("http://gitlab.osmosys.co/incident-reporter/incident-reporter-angular-portal", "OQSHA Portal")</f>
        <v/>
      </c>
      <c r="F457">
        <f>HYPERLINK("http://gitlab.osmosys.co/incident-reporter/incident-reporter-angular-portal/-/merge_requests/3596", "feat: add associated moc accordion in edit pssr page")</f>
        <v/>
      </c>
      <c r="G457" t="inlineStr">
        <is>
          <t>feat/add-moc-details</t>
        </is>
      </c>
      <c r="H457" t="inlineStr">
        <is>
          <t>sprint-18</t>
        </is>
      </c>
      <c r="I457" t="inlineStr">
        <is>
          <t>merged</t>
        </is>
      </c>
      <c r="J457" t="inlineStr">
        <is>
          <t>02880961aa04b98ed8c98f51ba578da0de50c2d4</t>
        </is>
      </c>
      <c r="K457">
        <f>HYPERLINK("http://gitlab.osmosys.co/incident-reporter/incident-reporter-angular-portal/-/merge_requests/3596#note_242448", "Fixed")</f>
        <v/>
      </c>
      <c r="L457" t="inlineStr">
        <is>
          <t>2025-07-26 05:37:19.863 IST</t>
        </is>
      </c>
      <c r="M457" t="inlineStr">
        <is>
          <t>Aditya Chakraborty</t>
        </is>
      </c>
      <c r="N457" t="inlineStr">
        <is>
          <t>No</t>
        </is>
      </c>
      <c r="O457" t="inlineStr">
        <is>
          <t>Yes</t>
        </is>
      </c>
      <c r="P457" t="inlineStr">
        <is>
          <t>Raj Kumar</t>
        </is>
      </c>
      <c r="Q457" t="inlineStr">
        <is>
          <t>Bad</t>
        </is>
      </c>
    </row>
    <row r="458">
      <c r="A458" t="inlineStr">
        <is>
          <t>aditya.c</t>
        </is>
      </c>
      <c r="B458" t="inlineStr">
        <is>
          <t>Aditya Chakraborty</t>
        </is>
      </c>
      <c r="C458" t="inlineStr">
        <is>
          <t>aditya.c@osmosys.co</t>
        </is>
      </c>
      <c r="D458" t="inlineStr">
        <is>
          <t>incident-reporter</t>
        </is>
      </c>
      <c r="E458">
        <f>HYPERLINK("http://gitlab.osmosys.co/incident-reporter/incident-reporter-angular-portal", "OQSHA Portal")</f>
        <v/>
      </c>
      <c r="F458">
        <f>HYPERLINK("http://gitlab.osmosys.co/incident-reporter/incident-reporter-angular-portal/-/merge_requests/3596", "feat: add associated moc accordion in edit pssr page")</f>
        <v/>
      </c>
      <c r="G458" t="inlineStr">
        <is>
          <t>feat/add-moc-details</t>
        </is>
      </c>
      <c r="H458" t="inlineStr">
        <is>
          <t>sprint-18</t>
        </is>
      </c>
      <c r="I458" t="inlineStr">
        <is>
          <t>merged</t>
        </is>
      </c>
      <c r="J458" t="inlineStr">
        <is>
          <t>9a0f0f6ae9c9bd06493ecd69fa7accaaa138bc1d</t>
        </is>
      </c>
      <c r="K458">
        <f>HYPERLINK("http://gitlab.osmosys.co/incident-reporter/incident-reporter-angular-portal/-/merge_requests/3596#note_242336", "Same here")</f>
        <v/>
      </c>
      <c r="L458" t="inlineStr">
        <is>
          <t>2025-07-26 00:41:25.043 IST</t>
        </is>
      </c>
      <c r="M458" t="inlineStr">
        <is>
          <t>Soundariya B</t>
        </is>
      </c>
      <c r="N458" t="inlineStr">
        <is>
          <t>Yes</t>
        </is>
      </c>
      <c r="O458" t="inlineStr">
        <is>
          <t>Yes</t>
        </is>
      </c>
      <c r="P458" t="inlineStr">
        <is>
          <t>Raj Kumar</t>
        </is>
      </c>
      <c r="Q458" t="inlineStr">
        <is>
          <t>Bad</t>
        </is>
      </c>
    </row>
    <row r="459">
      <c r="A459" t="inlineStr">
        <is>
          <t>aditya.c</t>
        </is>
      </c>
      <c r="B459" t="inlineStr">
        <is>
          <t>Aditya Chakraborty</t>
        </is>
      </c>
      <c r="C459" t="inlineStr">
        <is>
          <t>aditya.c@osmosys.co</t>
        </is>
      </c>
      <c r="D459" t="inlineStr">
        <is>
          <t>incident-reporter</t>
        </is>
      </c>
      <c r="E459">
        <f>HYPERLINK("http://gitlab.osmosys.co/incident-reporter/incident-reporter-angular-portal", "OQSHA Portal")</f>
        <v/>
      </c>
      <c r="F459">
        <f>HYPERLINK("http://gitlab.osmosys.co/incident-reporter/incident-reporter-angular-portal/-/merge_requests/3596", "feat: add associated moc accordion in edit pssr page")</f>
        <v/>
      </c>
      <c r="G459" t="inlineStr">
        <is>
          <t>feat/add-moc-details</t>
        </is>
      </c>
      <c r="H459" t="inlineStr">
        <is>
          <t>sprint-18</t>
        </is>
      </c>
      <c r="I459" t="inlineStr">
        <is>
          <t>merged</t>
        </is>
      </c>
      <c r="J459" t="inlineStr">
        <is>
          <t>9a0f0f6ae9c9bd06493ecd69fa7accaaa138bc1d</t>
        </is>
      </c>
      <c r="K459">
        <f>HYPERLINK("http://gitlab.osmosys.co/incident-reporter/incident-reporter-angular-portal/-/merge_requests/3596#note_242449", "Fixed")</f>
        <v/>
      </c>
      <c r="L459" t="inlineStr">
        <is>
          <t>2025-07-26 05:37:23.313 IST</t>
        </is>
      </c>
      <c r="M459" t="inlineStr">
        <is>
          <t>Aditya Chakraborty</t>
        </is>
      </c>
      <c r="N459" t="inlineStr">
        <is>
          <t>No</t>
        </is>
      </c>
      <c r="O459" t="inlineStr">
        <is>
          <t>Yes</t>
        </is>
      </c>
      <c r="P459" t="inlineStr">
        <is>
          <t>Raj Kumar</t>
        </is>
      </c>
      <c r="Q459" t="inlineStr">
        <is>
          <t>Bad</t>
        </is>
      </c>
    </row>
    <row r="460">
      <c r="A460" t="inlineStr">
        <is>
          <t>aditya.c</t>
        </is>
      </c>
      <c r="B460" t="inlineStr">
        <is>
          <t>Aditya Chakraborty</t>
        </is>
      </c>
      <c r="C460" t="inlineStr">
        <is>
          <t>aditya.c@osmosys.co</t>
        </is>
      </c>
      <c r="D460" t="inlineStr">
        <is>
          <t>incident-reporter</t>
        </is>
      </c>
      <c r="E460">
        <f>HYPERLINK("http://gitlab.osmosys.co/incident-reporter/incident-reporter-angular-portal", "OQSHA Portal")</f>
        <v/>
      </c>
      <c r="F460">
        <f>HYPERLINK("http://gitlab.osmosys.co/incident-reporter/incident-reporter-angular-portal/-/merge_requests/3596", "feat: add associated moc accordion in edit pssr page")</f>
        <v/>
      </c>
      <c r="G460" t="inlineStr">
        <is>
          <t>feat/add-moc-details</t>
        </is>
      </c>
      <c r="H460" t="inlineStr">
        <is>
          <t>sprint-18</t>
        </is>
      </c>
      <c r="I460" t="inlineStr">
        <is>
          <t>merged</t>
        </is>
      </c>
      <c r="J460" t="inlineStr">
        <is>
          <t>4e4fdcddabb5faa8e88534dca41b7de8b69cee36</t>
        </is>
      </c>
      <c r="K460">
        <f>HYPERLINK("http://gitlab.osmosys.co/incident-reporter/incident-reporter-angular-portal/-/merge_requests/3596#note_242337", "Code repetition its already in MOC details component
and Get hardcoded value from lang files")</f>
        <v/>
      </c>
      <c r="L460" t="inlineStr">
        <is>
          <t>2025-07-26 00:41:25.113 IST</t>
        </is>
      </c>
      <c r="M460" t="inlineStr">
        <is>
          <t>Soundariya B</t>
        </is>
      </c>
      <c r="N460" t="inlineStr">
        <is>
          <t>Yes</t>
        </is>
      </c>
      <c r="O460" t="inlineStr">
        <is>
          <t>Yes</t>
        </is>
      </c>
      <c r="P460" t="inlineStr">
        <is>
          <t>Raj Kumar</t>
        </is>
      </c>
      <c r="Q460" t="inlineStr">
        <is>
          <t>Bad</t>
        </is>
      </c>
    </row>
    <row r="461">
      <c r="A461" t="inlineStr">
        <is>
          <t>aditya.c</t>
        </is>
      </c>
      <c r="B461" t="inlineStr">
        <is>
          <t>Aditya Chakraborty</t>
        </is>
      </c>
      <c r="C461" t="inlineStr">
        <is>
          <t>aditya.c@osmosys.co</t>
        </is>
      </c>
      <c r="D461" t="inlineStr">
        <is>
          <t>incident-reporter</t>
        </is>
      </c>
      <c r="E461">
        <f>HYPERLINK("http://gitlab.osmosys.co/incident-reporter/incident-reporter-angular-portal", "OQSHA Portal")</f>
        <v/>
      </c>
      <c r="F461">
        <f>HYPERLINK("http://gitlab.osmosys.co/incident-reporter/incident-reporter-angular-portal/-/merge_requests/3596", "feat: add associated moc accordion in edit pssr page")</f>
        <v/>
      </c>
      <c r="G461" t="inlineStr">
        <is>
          <t>feat/add-moc-details</t>
        </is>
      </c>
      <c r="H461" t="inlineStr">
        <is>
          <t>sprint-18</t>
        </is>
      </c>
      <c r="I461" t="inlineStr">
        <is>
          <t>merged</t>
        </is>
      </c>
      <c r="J461" t="inlineStr">
        <is>
          <t>4e4fdcddabb5faa8e88534dca41b7de8b69cee36</t>
        </is>
      </c>
      <c r="K461">
        <f>HYPERLINK("http://gitlab.osmosys.co/incident-reporter/incident-reporter-angular-portal/-/merge_requests/3596#note_242441", "Yes/No/NA are default values of radiobutton
They come in that manner from the backend itself
Followed the implementation from MOC component")</f>
        <v/>
      </c>
      <c r="L461" t="inlineStr">
        <is>
          <t>2025-07-26 05:18:41.677 IST</t>
        </is>
      </c>
      <c r="M461" t="inlineStr">
        <is>
          <t>Aditya Chakraborty</t>
        </is>
      </c>
      <c r="N461" t="inlineStr">
        <is>
          <t>No</t>
        </is>
      </c>
      <c r="O461" t="inlineStr">
        <is>
          <t>Yes</t>
        </is>
      </c>
      <c r="P461" t="inlineStr">
        <is>
          <t>Raj Kumar</t>
        </is>
      </c>
      <c r="Q461" t="inlineStr">
        <is>
          <t>Bad</t>
        </is>
      </c>
    </row>
    <row r="462">
      <c r="A462" t="inlineStr">
        <is>
          <t>aditya.c</t>
        </is>
      </c>
      <c r="B462" t="inlineStr">
        <is>
          <t>Aditya Chakraborty</t>
        </is>
      </c>
      <c r="C462" t="inlineStr">
        <is>
          <t>aditya.c@osmosys.co</t>
        </is>
      </c>
      <c r="D462" t="inlineStr">
        <is>
          <t>incident-reporter</t>
        </is>
      </c>
      <c r="E462">
        <f>HYPERLINK("http://gitlab.osmosys.co/incident-reporter/incident-reporter-angular-portal", "OQSHA Portal")</f>
        <v/>
      </c>
      <c r="F462">
        <f>HYPERLINK("http://gitlab.osmosys.co/incident-reporter/incident-reporter-angular-portal/-/merge_requests/3596", "feat: add associated moc accordion in edit pssr page")</f>
        <v/>
      </c>
      <c r="G462" t="inlineStr">
        <is>
          <t>feat/add-moc-details</t>
        </is>
      </c>
      <c r="H462" t="inlineStr">
        <is>
          <t>sprint-18</t>
        </is>
      </c>
      <c r="I462" t="inlineStr">
        <is>
          <t>merged</t>
        </is>
      </c>
      <c r="J462" t="inlineStr">
        <is>
          <t>c250a37e96b099461a0f4302534d8cd5d4ccacc0</t>
        </is>
      </c>
      <c r="K462">
        <f>HYPERLINK("http://gitlab.osmosys.co/incident-reporter/incident-reporter-angular-portal/-/merge_requests/3596#note_242338", "Declare data type")</f>
        <v/>
      </c>
      <c r="L462" t="inlineStr">
        <is>
          <t>2025-07-26 00:41:25.209 IST</t>
        </is>
      </c>
      <c r="M462" t="inlineStr">
        <is>
          <t>Soundariya B</t>
        </is>
      </c>
      <c r="N462" t="inlineStr">
        <is>
          <t>Yes</t>
        </is>
      </c>
      <c r="O462" t="inlineStr">
        <is>
          <t>Yes</t>
        </is>
      </c>
      <c r="P462" t="inlineStr">
        <is>
          <t>Raj Kumar</t>
        </is>
      </c>
      <c r="Q462" t="inlineStr">
        <is>
          <t>Bad</t>
        </is>
      </c>
    </row>
    <row r="463">
      <c r="A463" t="inlineStr">
        <is>
          <t>aditya.c</t>
        </is>
      </c>
      <c r="B463" t="inlineStr">
        <is>
          <t>Aditya Chakraborty</t>
        </is>
      </c>
      <c r="C463" t="inlineStr">
        <is>
          <t>aditya.c@osmosys.co</t>
        </is>
      </c>
      <c r="D463" t="inlineStr">
        <is>
          <t>incident-reporter</t>
        </is>
      </c>
      <c r="E463">
        <f>HYPERLINK("http://gitlab.osmosys.co/incident-reporter/incident-reporter-angular-portal", "OQSHA Portal")</f>
        <v/>
      </c>
      <c r="F463">
        <f>HYPERLINK("http://gitlab.osmosys.co/incident-reporter/incident-reporter-angular-portal/-/merge_requests/3596", "feat: add associated moc accordion in edit pssr page")</f>
        <v/>
      </c>
      <c r="G463" t="inlineStr">
        <is>
          <t>feat/add-moc-details</t>
        </is>
      </c>
      <c r="H463" t="inlineStr">
        <is>
          <t>sprint-18</t>
        </is>
      </c>
      <c r="I463" t="inlineStr">
        <is>
          <t>merged</t>
        </is>
      </c>
      <c r="J463" t="inlineStr">
        <is>
          <t>c250a37e96b099461a0f4302534d8cd5d4ccacc0</t>
        </is>
      </c>
      <c r="K463">
        <f>HYPERLINK("http://gitlab.osmosys.co/incident-reporter/incident-reporter-angular-portal/-/merge_requests/3596#note_242450", "Fixed")</f>
        <v/>
      </c>
      <c r="L463" t="inlineStr">
        <is>
          <t>2025-07-26 05:37:29.077 IST</t>
        </is>
      </c>
      <c r="M463" t="inlineStr">
        <is>
          <t>Aditya Chakraborty</t>
        </is>
      </c>
      <c r="N463" t="inlineStr">
        <is>
          <t>No</t>
        </is>
      </c>
      <c r="O463" t="inlineStr">
        <is>
          <t>Yes</t>
        </is>
      </c>
      <c r="P463" t="inlineStr">
        <is>
          <t>Raj Kumar</t>
        </is>
      </c>
      <c r="Q463" t="inlineStr">
        <is>
          <t>Bad</t>
        </is>
      </c>
    </row>
    <row r="464">
      <c r="A464" t="inlineStr">
        <is>
          <t>aditya.c</t>
        </is>
      </c>
      <c r="B464" t="inlineStr">
        <is>
          <t>Aditya Chakraborty</t>
        </is>
      </c>
      <c r="C464" t="inlineStr">
        <is>
          <t>aditya.c@osmosys.co</t>
        </is>
      </c>
      <c r="D464" t="inlineStr">
        <is>
          <t>incident-reporter</t>
        </is>
      </c>
      <c r="E464">
        <f>HYPERLINK("http://gitlab.osmosys.co/incident-reporter/incident-reporter-angular-portal", "OQSHA Portal")</f>
        <v/>
      </c>
      <c r="F464">
        <f>HYPERLINK("http://gitlab.osmosys.co/incident-reporter/incident-reporter-angular-portal/-/merge_requests/3596", "feat: add associated moc accordion in edit pssr page")</f>
        <v/>
      </c>
      <c r="G464" t="inlineStr">
        <is>
          <t>feat/add-moc-details</t>
        </is>
      </c>
      <c r="H464" t="inlineStr">
        <is>
          <t>sprint-18</t>
        </is>
      </c>
      <c r="I464" t="inlineStr">
        <is>
          <t>merged</t>
        </is>
      </c>
      <c r="J464" t="inlineStr">
        <is>
          <t>a4e8f8f2ac88ca3a5e282a597b444b696667a142</t>
        </is>
      </c>
      <c r="K464">
        <f>HYPERLINK("http://gitlab.osmosys.co/incident-reporter/incident-reporter-angular-portal/-/merge_requests/3596#note_242339", "These details are not required because just you need to pass the associated MOC Id and you will get the data 
You need use the component itself don't add new code")</f>
        <v/>
      </c>
      <c r="L464" t="inlineStr">
        <is>
          <t>2025-07-26 00:41:25.275 IST</t>
        </is>
      </c>
      <c r="M464" t="inlineStr">
        <is>
          <t>Soundariya B</t>
        </is>
      </c>
      <c r="N464" t="inlineStr">
        <is>
          <t>Yes</t>
        </is>
      </c>
      <c r="O464" t="inlineStr">
        <is>
          <t>Yes</t>
        </is>
      </c>
      <c r="P464" t="inlineStr">
        <is>
          <t>Raj Kumar</t>
        </is>
      </c>
      <c r="Q464" t="inlineStr">
        <is>
          <t>Bad</t>
        </is>
      </c>
    </row>
    <row r="465">
      <c r="A465" t="inlineStr">
        <is>
          <t>aditya.c</t>
        </is>
      </c>
      <c r="B465" t="inlineStr">
        <is>
          <t>Aditya Chakraborty</t>
        </is>
      </c>
      <c r="C465" t="inlineStr">
        <is>
          <t>aditya.c@osmosys.co</t>
        </is>
      </c>
      <c r="D465" t="inlineStr">
        <is>
          <t>incident-reporter</t>
        </is>
      </c>
      <c r="E465">
        <f>HYPERLINK("http://gitlab.osmosys.co/incident-reporter/incident-reporter-angular-portal", "OQSHA Portal")</f>
        <v/>
      </c>
      <c r="F465">
        <f>HYPERLINK("http://gitlab.osmosys.co/incident-reporter/incident-reporter-angular-portal/-/merge_requests/3596", "feat: add associated moc accordion in edit pssr page")</f>
        <v/>
      </c>
      <c r="G465" t="inlineStr">
        <is>
          <t>feat/add-moc-details</t>
        </is>
      </c>
      <c r="H465" t="inlineStr">
        <is>
          <t>sprint-18</t>
        </is>
      </c>
      <c r="I465" t="inlineStr">
        <is>
          <t>merged</t>
        </is>
      </c>
      <c r="J465" t="inlineStr">
        <is>
          <t>a4e8f8f2ac88ca3a5e282a597b444b696667a142</t>
        </is>
      </c>
      <c r="K465">
        <f>HYPERLINK("http://gitlab.osmosys.co/incident-reporter/incident-reporter-angular-portal/-/merge_requests/3596#note_242445", "I mentioned above the reason for it")</f>
        <v/>
      </c>
      <c r="L465" t="inlineStr">
        <is>
          <t>2025-07-26 05:30:32.404 IST</t>
        </is>
      </c>
      <c r="M465" t="inlineStr">
        <is>
          <t>Aditya Chakraborty</t>
        </is>
      </c>
      <c r="N465" t="inlineStr">
        <is>
          <t>No</t>
        </is>
      </c>
      <c r="O465" t="inlineStr">
        <is>
          <t>Yes</t>
        </is>
      </c>
      <c r="P465" t="inlineStr">
        <is>
          <t>Raj Kumar</t>
        </is>
      </c>
      <c r="Q465" t="inlineStr">
        <is>
          <t>Bad</t>
        </is>
      </c>
    </row>
    <row r="466">
      <c r="A466" t="inlineStr">
        <is>
          <t>aditya.c</t>
        </is>
      </c>
      <c r="B466" t="inlineStr">
        <is>
          <t>Aditya Chakraborty</t>
        </is>
      </c>
      <c r="C466" t="inlineStr">
        <is>
          <t>aditya.c@osmosys.co</t>
        </is>
      </c>
      <c r="D466" t="inlineStr">
        <is>
          <t>incident-reporter</t>
        </is>
      </c>
      <c r="E466">
        <f>HYPERLINK("http://gitlab.osmosys.co/incident-reporter/incident-reporter-angular-portal", "OQSHA Portal")</f>
        <v/>
      </c>
      <c r="F466">
        <f>HYPERLINK("http://gitlab.osmosys.co/incident-reporter/incident-reporter-angular-portal/-/merge_requests/3577", "fix: update due data logic to convert date to UTC")</f>
        <v/>
      </c>
      <c r="G466" t="inlineStr">
        <is>
          <t>fix/calendar-utc-convert</t>
        </is>
      </c>
      <c r="H466" t="inlineStr">
        <is>
          <t>sprint-17</t>
        </is>
      </c>
      <c r="I466" t="inlineStr">
        <is>
          <t>merged</t>
        </is>
      </c>
      <c r="J466" t="inlineStr"/>
      <c r="K466" t="inlineStr"/>
      <c r="L466" t="inlineStr"/>
      <c r="M466" t="inlineStr"/>
      <c r="N466" t="inlineStr"/>
      <c r="O466" t="inlineStr"/>
      <c r="P466" t="inlineStr"/>
      <c r="Q466" t="inlineStr"/>
    </row>
    <row r="467">
      <c r="A467" t="inlineStr">
        <is>
          <t>aditya.c</t>
        </is>
      </c>
      <c r="B467" t="inlineStr">
        <is>
          <t>Aditya Chakraborty</t>
        </is>
      </c>
      <c r="C467" t="inlineStr">
        <is>
          <t>aditya.c@osmosys.co</t>
        </is>
      </c>
      <c r="D467" t="inlineStr">
        <is>
          <t>incident-reporter</t>
        </is>
      </c>
      <c r="E467">
        <f>HYPERLINK("http://gitlab.osmosys.co/incident-reporter/incident-reporter-angular-portal", "OQSHA Portal")</f>
        <v/>
      </c>
      <c r="F467">
        <f>HYPERLINK("http://gitlab.osmosys.co/incident-reporter/incident-reporter-angular-portal/-/merge_requests/3561", "fix: resolve multiple issues on tasks status list page")</f>
        <v/>
      </c>
      <c r="G467" t="inlineStr">
        <is>
          <t>fix/tasks-list</t>
        </is>
      </c>
      <c r="H467" t="inlineStr">
        <is>
          <t>sprint-18</t>
        </is>
      </c>
      <c r="I467" t="inlineStr">
        <is>
          <t>merged</t>
        </is>
      </c>
      <c r="J467" t="inlineStr"/>
      <c r="K467" t="inlineStr"/>
      <c r="L467" t="inlineStr"/>
      <c r="M467" t="inlineStr"/>
      <c r="N467" t="inlineStr"/>
      <c r="O467" t="inlineStr"/>
      <c r="P467" t="inlineStr"/>
      <c r="Q467" t="inlineStr"/>
    </row>
    <row r="468">
      <c r="A468" t="inlineStr">
        <is>
          <t>aditya.c</t>
        </is>
      </c>
      <c r="B468" t="inlineStr">
        <is>
          <t>Aditya Chakraborty</t>
        </is>
      </c>
      <c r="C468" t="inlineStr">
        <is>
          <t>aditya.c@osmosys.co</t>
        </is>
      </c>
      <c r="D468" t="inlineStr">
        <is>
          <t>incident-reporter</t>
        </is>
      </c>
      <c r="E468">
        <f>HYPERLINK("http://gitlab.osmosys.co/incident-reporter/incident-reporter-angular-portal", "OQSHA Portal")</f>
        <v/>
      </c>
      <c r="F468">
        <f>HYPERLINK("http://gitlab.osmosys.co/incident-reporter/incident-reporter-angular-portal/-/merge_requests/3552", "fix: convert all file types to lower case while comparison")</f>
        <v/>
      </c>
      <c r="G468" t="inlineStr">
        <is>
          <t>fix/file-upload-validation</t>
        </is>
      </c>
      <c r="H468" t="inlineStr">
        <is>
          <t>sprint-17</t>
        </is>
      </c>
      <c r="I468" t="inlineStr">
        <is>
          <t>merged</t>
        </is>
      </c>
      <c r="J468" t="inlineStr"/>
      <c r="K468" t="inlineStr"/>
      <c r="L468" t="inlineStr"/>
      <c r="M468" t="inlineStr"/>
      <c r="N468" t="inlineStr"/>
      <c r="O468" t="inlineStr"/>
      <c r="P468" t="inlineStr"/>
      <c r="Q468" t="inlineStr"/>
    </row>
    <row r="469">
      <c r="A469" t="inlineStr">
        <is>
          <t>aditya.c</t>
        </is>
      </c>
      <c r="B469" t="inlineStr">
        <is>
          <t>Aditya Chakraborty</t>
        </is>
      </c>
      <c r="C469" t="inlineStr">
        <is>
          <t>aditya.c@osmosys.co</t>
        </is>
      </c>
      <c r="D469" t="inlineStr">
        <is>
          <t>incident-reporter</t>
        </is>
      </c>
      <c r="E469">
        <f>HYPERLINK("http://gitlab.osmosys.co/incident-reporter/incident-reporter-angular-portal", "OQSHA Portal")</f>
        <v/>
      </c>
      <c r="F469">
        <f>HYPERLINK("http://gitlab.osmosys.co/incident-reporter/incident-reporter-angular-portal/-/merge_requests/3533", "feat: add PTW subchecks on portal")</f>
        <v/>
      </c>
      <c r="G469" t="inlineStr">
        <is>
          <t>feat/add-ptw-subchecks</t>
        </is>
      </c>
      <c r="H469" t="inlineStr">
        <is>
          <t>sprint-18</t>
        </is>
      </c>
      <c r="I469" t="inlineStr">
        <is>
          <t>merged</t>
        </is>
      </c>
      <c r="J469" t="inlineStr">
        <is>
          <t>003e581b5081196b1eb257a56b6ee3119e3891b7</t>
        </is>
      </c>
      <c r="K469">
        <f>HYPERLINK("http://gitlab.osmosys.co/incident-reporter/incident-reporter-angular-portal/-/merge_requests/3533#note_241622", "Pipeline failure")</f>
        <v/>
      </c>
      <c r="L469" t="inlineStr">
        <is>
          <t>2025-07-25 00:29:35.354 IST</t>
        </is>
      </c>
      <c r="M469" t="inlineStr">
        <is>
          <t>Soundariya B</t>
        </is>
      </c>
      <c r="N469" t="inlineStr">
        <is>
          <t>Yes</t>
        </is>
      </c>
      <c r="O469" t="inlineStr">
        <is>
          <t>Yes</t>
        </is>
      </c>
      <c r="P469" t="inlineStr">
        <is>
          <t>Raj Kumar</t>
        </is>
      </c>
      <c r="Q469" t="inlineStr">
        <is>
          <t>Bad</t>
        </is>
      </c>
    </row>
    <row r="470">
      <c r="A470" t="inlineStr">
        <is>
          <t>aditya.c</t>
        </is>
      </c>
      <c r="B470" t="inlineStr">
        <is>
          <t>Aditya Chakraborty</t>
        </is>
      </c>
      <c r="C470" t="inlineStr">
        <is>
          <t>aditya.c@osmosys.co</t>
        </is>
      </c>
      <c r="D470" t="inlineStr">
        <is>
          <t>incident-reporter</t>
        </is>
      </c>
      <c r="E470">
        <f>HYPERLINK("http://gitlab.osmosys.co/incident-reporter/incident-reporter-angular-portal", "OQSHA Portal")</f>
        <v/>
      </c>
      <c r="F470">
        <f>HYPERLINK("http://gitlab.osmosys.co/incident-reporter/incident-reporter-angular-portal/-/merge_requests/3533", "feat: add PTW subchecks on portal")</f>
        <v/>
      </c>
      <c r="G470" t="inlineStr">
        <is>
          <t>feat/add-ptw-subchecks</t>
        </is>
      </c>
      <c r="H470" t="inlineStr">
        <is>
          <t>sprint-18</t>
        </is>
      </c>
      <c r="I470" t="inlineStr">
        <is>
          <t>merged</t>
        </is>
      </c>
      <c r="J470" t="inlineStr">
        <is>
          <t>4fd61cdc5c16617812983d0167a7dc7495dca6d2</t>
        </is>
      </c>
      <c r="K470">
        <f>HYPERLINK("http://gitlab.osmosys.co/incident-reporter/incident-reporter-angular-portal/-/merge_requests/3533#note_241623", "![image.png](/uploads/3485ee724bbb37eeb0fa5e6a29866992/image.png)")</f>
        <v/>
      </c>
      <c r="L470" t="inlineStr">
        <is>
          <t>2025-07-25 00:29:35.394 IST</t>
        </is>
      </c>
      <c r="M470" t="inlineStr">
        <is>
          <t>Soundariya B</t>
        </is>
      </c>
      <c r="N470" t="inlineStr">
        <is>
          <t>Yes</t>
        </is>
      </c>
      <c r="O470" t="inlineStr">
        <is>
          <t>Yes</t>
        </is>
      </c>
      <c r="P470" t="inlineStr">
        <is>
          <t>Raj Kumar</t>
        </is>
      </c>
      <c r="Q470" t="inlineStr">
        <is>
          <t>Bad</t>
        </is>
      </c>
    </row>
    <row r="471">
      <c r="A471" t="inlineStr">
        <is>
          <t>aditya.c</t>
        </is>
      </c>
      <c r="B471" t="inlineStr">
        <is>
          <t>Aditya Chakraborty</t>
        </is>
      </c>
      <c r="C471" t="inlineStr">
        <is>
          <t>aditya.c@osmosys.co</t>
        </is>
      </c>
      <c r="D471" t="inlineStr">
        <is>
          <t>incident-reporter</t>
        </is>
      </c>
      <c r="E471">
        <f>HYPERLINK("http://gitlab.osmosys.co/incident-reporter/incident-reporter-angular-portal", "OQSHA Portal")</f>
        <v/>
      </c>
      <c r="F471">
        <f>HYPERLINK("http://gitlab.osmosys.co/incident-reporter/incident-reporter-angular-portal/-/merge_requests/3533", "feat: add PTW subchecks on portal")</f>
        <v/>
      </c>
      <c r="G471" t="inlineStr">
        <is>
          <t>feat/add-ptw-subchecks</t>
        </is>
      </c>
      <c r="H471" t="inlineStr">
        <is>
          <t>sprint-18</t>
        </is>
      </c>
      <c r="I471" t="inlineStr">
        <is>
          <t>merged</t>
        </is>
      </c>
      <c r="J471" t="inlineStr">
        <is>
          <t>4fd61cdc5c16617812983d0167a7dc7495dca6d2</t>
        </is>
      </c>
      <c r="K471">
        <f>HYPERLINK("http://gitlab.osmosys.co/incident-reporter/incident-reporter-angular-portal/-/merge_requests/3533#note_242451", "![image](/uploads/9de205a8991de83dcff7140e2f342f01/image.png){width=1440 height=656}
Fixed via global css")</f>
        <v/>
      </c>
      <c r="L471" t="inlineStr">
        <is>
          <t>2025-07-26 05:41:12.576 IST</t>
        </is>
      </c>
      <c r="M471" t="inlineStr">
        <is>
          <t>Aditya Chakraborty</t>
        </is>
      </c>
      <c r="N471" t="inlineStr">
        <is>
          <t>No</t>
        </is>
      </c>
      <c r="O471" t="inlineStr">
        <is>
          <t>Yes</t>
        </is>
      </c>
      <c r="P471" t="inlineStr">
        <is>
          <t>Raj Kumar</t>
        </is>
      </c>
      <c r="Q471" t="inlineStr">
        <is>
          <t>Bad</t>
        </is>
      </c>
    </row>
    <row r="472">
      <c r="A472" t="inlineStr">
        <is>
          <t>aditya.c</t>
        </is>
      </c>
      <c r="B472" t="inlineStr">
        <is>
          <t>Aditya Chakraborty</t>
        </is>
      </c>
      <c r="C472" t="inlineStr">
        <is>
          <t>aditya.c@osmosys.co</t>
        </is>
      </c>
      <c r="D472" t="inlineStr">
        <is>
          <t>incident-reporter</t>
        </is>
      </c>
      <c r="E472">
        <f>HYPERLINK("http://gitlab.osmosys.co/incident-reporter/incident-reporter-angular-portal", "OQSHA Portal")</f>
        <v/>
      </c>
      <c r="F472">
        <f>HYPERLINK("http://gitlab.osmosys.co/incident-reporter/incident-reporter-angular-portal/-/merge_requests/3533", "feat: add PTW subchecks on portal")</f>
        <v/>
      </c>
      <c r="G472" t="inlineStr">
        <is>
          <t>feat/add-ptw-subchecks</t>
        </is>
      </c>
      <c r="H472" t="inlineStr">
        <is>
          <t>sprint-18</t>
        </is>
      </c>
      <c r="I472" t="inlineStr">
        <is>
          <t>merged</t>
        </is>
      </c>
      <c r="J472" t="inlineStr">
        <is>
          <t>142dbea30d2b8752bf93c1f94574af1a06c1dca3</t>
        </is>
      </c>
      <c r="K472">
        <f>HYPERLINK("http://gitlab.osmosys.co/incident-reporter/incident-reporter-angular-portal/-/merge_requests/3533#note_241624", "Please check with Hitesh once for these type of changes or this whole ptw PR because he is the one who knows very well and implement so please make sure nothing should break and functionality otherwise will face consequence later in prod or stg")</f>
        <v/>
      </c>
      <c r="L472" t="inlineStr">
        <is>
          <t>2025-07-25 00:29:35.471 IST</t>
        </is>
      </c>
      <c r="M472" t="inlineStr">
        <is>
          <t>Soundariya B</t>
        </is>
      </c>
      <c r="N472" t="inlineStr">
        <is>
          <t>Yes</t>
        </is>
      </c>
      <c r="O472" t="inlineStr">
        <is>
          <t>Yes</t>
        </is>
      </c>
      <c r="P472" t="inlineStr">
        <is>
          <t>Raj Kumar</t>
        </is>
      </c>
      <c r="Q472" t="inlineStr">
        <is>
          <t>Bad</t>
        </is>
      </c>
    </row>
    <row r="473">
      <c r="A473" t="inlineStr">
        <is>
          <t>aditya.c</t>
        </is>
      </c>
      <c r="B473" t="inlineStr">
        <is>
          <t>Aditya Chakraborty</t>
        </is>
      </c>
      <c r="C473" t="inlineStr">
        <is>
          <t>aditya.c@osmosys.co</t>
        </is>
      </c>
      <c r="D473" t="inlineStr">
        <is>
          <t>incident-reporter</t>
        </is>
      </c>
      <c r="E473">
        <f>HYPERLINK("http://gitlab.osmosys.co/incident-reporter/incident-reporter-angular-portal", "OQSHA Portal")</f>
        <v/>
      </c>
      <c r="F473">
        <f>HYPERLINK("http://gitlab.osmosys.co/incident-reporter/incident-reporter-angular-portal/-/merge_requests/3533", "feat: add PTW subchecks on portal")</f>
        <v/>
      </c>
      <c r="G473" t="inlineStr">
        <is>
          <t>feat/add-ptw-subchecks</t>
        </is>
      </c>
      <c r="H473" t="inlineStr">
        <is>
          <t>sprint-18</t>
        </is>
      </c>
      <c r="I473" t="inlineStr">
        <is>
          <t>merged</t>
        </is>
      </c>
      <c r="J473" t="inlineStr">
        <is>
          <t>142dbea30d2b8752bf93c1f94574af1a06c1dca3</t>
        </is>
      </c>
      <c r="K473">
        <f>HYPERLINK("http://gitlab.osmosys.co/incident-reporter/incident-reporter-angular-portal/-/merge_requests/3533#note_242105", "![image](/uploads/deb2dbb6766f82b24b9963759dc8e8f7/image.png){width=802 height=167}")</f>
        <v/>
      </c>
      <c r="L473" t="inlineStr">
        <is>
          <t>2025-07-25 20:23:33.366 IST</t>
        </is>
      </c>
      <c r="M473" t="inlineStr">
        <is>
          <t>Aditya Chakraborty</t>
        </is>
      </c>
      <c r="N473" t="inlineStr">
        <is>
          <t>No</t>
        </is>
      </c>
      <c r="O473" t="inlineStr">
        <is>
          <t>Yes</t>
        </is>
      </c>
      <c r="P473" t="inlineStr">
        <is>
          <t>Raj Kumar</t>
        </is>
      </c>
      <c r="Q473" t="inlineStr">
        <is>
          <t>Bad</t>
        </is>
      </c>
    </row>
    <row r="474">
      <c r="A474" t="inlineStr">
        <is>
          <t>aditya.c</t>
        </is>
      </c>
      <c r="B474" t="inlineStr">
        <is>
          <t>Aditya Chakraborty</t>
        </is>
      </c>
      <c r="C474" t="inlineStr">
        <is>
          <t>aditya.c@osmosys.co</t>
        </is>
      </c>
      <c r="D474" t="inlineStr">
        <is>
          <t>incident-reporter</t>
        </is>
      </c>
      <c r="E474">
        <f>HYPERLINK("http://gitlab.osmosys.co/incident-reporter/incident-reporter-angular-portal", "OQSHA Portal")</f>
        <v/>
      </c>
      <c r="F474">
        <f>HYPERLINK("http://gitlab.osmosys.co/incident-reporter/incident-reporter-angular-portal/-/merge_requests/3533", "feat: add PTW subchecks on portal")</f>
        <v/>
      </c>
      <c r="G474" t="inlineStr">
        <is>
          <t>feat/add-ptw-subchecks</t>
        </is>
      </c>
      <c r="H474" t="inlineStr">
        <is>
          <t>sprint-18</t>
        </is>
      </c>
      <c r="I474" t="inlineStr">
        <is>
          <t>merged</t>
        </is>
      </c>
      <c r="J474" t="inlineStr">
        <is>
          <t>8206d1e542db5053b306fbbd442508fbf28717ca</t>
        </is>
      </c>
      <c r="K474">
        <f>HYPERLINK("http://gitlab.osmosys.co/incident-reporter/incident-reporter-angular-portal/-/merge_requests/3533#note_241625", "Avoid to use inline CSS - fix it everywhere")</f>
        <v/>
      </c>
      <c r="L474" t="inlineStr">
        <is>
          <t>2025-07-25 00:29:35.526 IST</t>
        </is>
      </c>
      <c r="M474" t="inlineStr">
        <is>
          <t>Soundariya B</t>
        </is>
      </c>
      <c r="N474" t="inlineStr">
        <is>
          <t>Yes</t>
        </is>
      </c>
      <c r="O474" t="inlineStr">
        <is>
          <t>Yes</t>
        </is>
      </c>
      <c r="P474" t="inlineStr">
        <is>
          <t>Raj Kumar</t>
        </is>
      </c>
      <c r="Q474" t="inlineStr">
        <is>
          <t>Bad</t>
        </is>
      </c>
    </row>
    <row r="475">
      <c r="A475" t="inlineStr">
        <is>
          <t>aditya.c</t>
        </is>
      </c>
      <c r="B475" t="inlineStr">
        <is>
          <t>Aditya Chakraborty</t>
        </is>
      </c>
      <c r="C475" t="inlineStr">
        <is>
          <t>aditya.c@osmosys.co</t>
        </is>
      </c>
      <c r="D475" t="inlineStr">
        <is>
          <t>incident-reporter</t>
        </is>
      </c>
      <c r="E475">
        <f>HYPERLINK("http://gitlab.osmosys.co/incident-reporter/incident-reporter-angular-portal", "OQSHA Portal")</f>
        <v/>
      </c>
      <c r="F475">
        <f>HYPERLINK("http://gitlab.osmosys.co/incident-reporter/incident-reporter-angular-portal/-/merge_requests/3533", "feat: add PTW subchecks on portal")</f>
        <v/>
      </c>
      <c r="G475" t="inlineStr">
        <is>
          <t>feat/add-ptw-subchecks</t>
        </is>
      </c>
      <c r="H475" t="inlineStr">
        <is>
          <t>sprint-18</t>
        </is>
      </c>
      <c r="I475" t="inlineStr">
        <is>
          <t>merged</t>
        </is>
      </c>
      <c r="J475" t="inlineStr">
        <is>
          <t>8206d1e542db5053b306fbbd442508fbf28717ca</t>
        </is>
      </c>
      <c r="K475">
        <f>HYPERLINK("http://gitlab.osmosys.co/incident-reporter/incident-reporter-angular-portal/-/merge_requests/3533#note_242246", "Removed")</f>
        <v/>
      </c>
      <c r="L475" t="inlineStr">
        <is>
          <t>2025-07-25 23:02:10.284 IST</t>
        </is>
      </c>
      <c r="M475" t="inlineStr">
        <is>
          <t>Aditya Chakraborty</t>
        </is>
      </c>
      <c r="N475" t="inlineStr">
        <is>
          <t>No</t>
        </is>
      </c>
      <c r="O475" t="inlineStr">
        <is>
          <t>Yes</t>
        </is>
      </c>
      <c r="P475" t="inlineStr">
        <is>
          <t>Raj Kumar</t>
        </is>
      </c>
      <c r="Q475" t="inlineStr">
        <is>
          <t>Bad</t>
        </is>
      </c>
    </row>
    <row r="476">
      <c r="A476" t="inlineStr">
        <is>
          <t>aditya.c</t>
        </is>
      </c>
      <c r="B476" t="inlineStr">
        <is>
          <t>Aditya Chakraborty</t>
        </is>
      </c>
      <c r="C476" t="inlineStr">
        <is>
          <t>aditya.c@osmosys.co</t>
        </is>
      </c>
      <c r="D476" t="inlineStr">
        <is>
          <t>incident-reporter</t>
        </is>
      </c>
      <c r="E476">
        <f>HYPERLINK("http://gitlab.osmosys.co/incident-reporter/incident-reporter-angular-portal", "OQSHA Portal")</f>
        <v/>
      </c>
      <c r="F476">
        <f>HYPERLINK("http://gitlab.osmosys.co/incident-reporter/incident-reporter-angular-portal/-/merge_requests/3533", "feat: add PTW subchecks on portal")</f>
        <v/>
      </c>
      <c r="G476" t="inlineStr">
        <is>
          <t>feat/add-ptw-subchecks</t>
        </is>
      </c>
      <c r="H476" t="inlineStr">
        <is>
          <t>sprint-18</t>
        </is>
      </c>
      <c r="I476" t="inlineStr">
        <is>
          <t>merged</t>
        </is>
      </c>
      <c r="J476" t="inlineStr">
        <is>
          <t>461a9f4dcde2ab0efbbfda60381435fdcc81a5bd</t>
        </is>
      </c>
      <c r="K476">
        <f>HYPERLINK("http://gitlab.osmosys.co/incident-reporter/incident-reporter-angular-portal/-/merge_requests/3533#note_241626", "Here and like this type of condition you should but the null check before checking for length - ?.")</f>
        <v/>
      </c>
      <c r="L476" t="inlineStr">
        <is>
          <t>2025-07-25 00:29:35.580 IST</t>
        </is>
      </c>
      <c r="M476" t="inlineStr">
        <is>
          <t>Soundariya B</t>
        </is>
      </c>
      <c r="N476" t="inlineStr">
        <is>
          <t>Yes</t>
        </is>
      </c>
      <c r="O476" t="inlineStr">
        <is>
          <t>Yes</t>
        </is>
      </c>
      <c r="P476" t="inlineStr">
        <is>
          <t>Raj Kumar</t>
        </is>
      </c>
      <c r="Q476" t="inlineStr">
        <is>
          <t>Bad</t>
        </is>
      </c>
    </row>
    <row r="477">
      <c r="A477" t="inlineStr">
        <is>
          <t>aditya.c</t>
        </is>
      </c>
      <c r="B477" t="inlineStr">
        <is>
          <t>Aditya Chakraborty</t>
        </is>
      </c>
      <c r="C477" t="inlineStr">
        <is>
          <t>aditya.c@osmosys.co</t>
        </is>
      </c>
      <c r="D477" t="inlineStr">
        <is>
          <t>incident-reporter</t>
        </is>
      </c>
      <c r="E477">
        <f>HYPERLINK("http://gitlab.osmosys.co/incident-reporter/incident-reporter-angular-portal", "OQSHA Portal")</f>
        <v/>
      </c>
      <c r="F477">
        <f>HYPERLINK("http://gitlab.osmosys.co/incident-reporter/incident-reporter-angular-portal/-/merge_requests/3533", "feat: add PTW subchecks on portal")</f>
        <v/>
      </c>
      <c r="G477" t="inlineStr">
        <is>
          <t>feat/add-ptw-subchecks</t>
        </is>
      </c>
      <c r="H477" t="inlineStr">
        <is>
          <t>sprint-18</t>
        </is>
      </c>
      <c r="I477" t="inlineStr">
        <is>
          <t>merged</t>
        </is>
      </c>
      <c r="J477" t="inlineStr">
        <is>
          <t>f73c09bf2bb393d659e07ea0cbdf451cebae20b5</t>
        </is>
      </c>
      <c r="K477">
        <f>HYPERLINK("http://gitlab.osmosys.co/incident-reporter/incident-reporter-angular-portal/-/merge_requests/3533#note_241627", "Please fix the format of these lines")</f>
        <v/>
      </c>
      <c r="L477" t="inlineStr">
        <is>
          <t>2025-07-25 00:29:35.635 IST</t>
        </is>
      </c>
      <c r="M477" t="inlineStr">
        <is>
          <t>Soundariya B</t>
        </is>
      </c>
      <c r="N477" t="inlineStr">
        <is>
          <t>Yes</t>
        </is>
      </c>
      <c r="O477" t="inlineStr">
        <is>
          <t>Yes</t>
        </is>
      </c>
      <c r="P477" t="inlineStr">
        <is>
          <t>Raj Kumar</t>
        </is>
      </c>
      <c r="Q477" t="inlineStr">
        <is>
          <t>Bad</t>
        </is>
      </c>
    </row>
    <row r="478">
      <c r="A478" t="inlineStr">
        <is>
          <t>aditya.c</t>
        </is>
      </c>
      <c r="B478" t="inlineStr">
        <is>
          <t>Aditya Chakraborty</t>
        </is>
      </c>
      <c r="C478" t="inlineStr">
        <is>
          <t>aditya.c@osmosys.co</t>
        </is>
      </c>
      <c r="D478" t="inlineStr">
        <is>
          <t>incident-reporter</t>
        </is>
      </c>
      <c r="E478">
        <f>HYPERLINK("http://gitlab.osmosys.co/incident-reporter/incident-reporter-angular-portal", "OQSHA Portal")</f>
        <v/>
      </c>
      <c r="F478">
        <f>HYPERLINK("http://gitlab.osmosys.co/incident-reporter/incident-reporter-angular-portal/-/merge_requests/3533", "feat: add PTW subchecks on portal")</f>
        <v/>
      </c>
      <c r="G478" t="inlineStr">
        <is>
          <t>feat/add-ptw-subchecks</t>
        </is>
      </c>
      <c r="H478" t="inlineStr">
        <is>
          <t>sprint-18</t>
        </is>
      </c>
      <c r="I478" t="inlineStr">
        <is>
          <t>merged</t>
        </is>
      </c>
      <c r="J478" t="inlineStr">
        <is>
          <t>f73c09bf2bb393d659e07ea0cbdf451cebae20b5</t>
        </is>
      </c>
      <c r="K478">
        <f>HYPERLINK("http://gitlab.osmosys.co/incident-reporter/incident-reporter-angular-portal/-/merge_requests/3533#note_242452", "Its set by prettier")</f>
        <v/>
      </c>
      <c r="L478" t="inlineStr">
        <is>
          <t>2025-07-26 05:41:29.813 IST</t>
        </is>
      </c>
      <c r="M478" t="inlineStr">
        <is>
          <t>Aditya Chakraborty</t>
        </is>
      </c>
      <c r="N478" t="inlineStr">
        <is>
          <t>No</t>
        </is>
      </c>
      <c r="O478" t="inlineStr">
        <is>
          <t>Yes</t>
        </is>
      </c>
      <c r="P478" t="inlineStr">
        <is>
          <t>Raj Kumar</t>
        </is>
      </c>
      <c r="Q478" t="inlineStr">
        <is>
          <t>Bad</t>
        </is>
      </c>
    </row>
    <row r="479">
      <c r="A479" t="inlineStr">
        <is>
          <t>aditya.c</t>
        </is>
      </c>
      <c r="B479" t="inlineStr">
        <is>
          <t>Aditya Chakraborty</t>
        </is>
      </c>
      <c r="C479" t="inlineStr">
        <is>
          <t>aditya.c@osmosys.co</t>
        </is>
      </c>
      <c r="D479" t="inlineStr">
        <is>
          <t>incident-reporter</t>
        </is>
      </c>
      <c r="E479">
        <f>HYPERLINK("http://gitlab.osmosys.co/incident-reporter/incident-reporter-angular-portal", "OQSHA Portal")</f>
        <v/>
      </c>
      <c r="F479">
        <f>HYPERLINK("http://gitlab.osmosys.co/incident-reporter/incident-reporter-angular-portal/-/merge_requests/3533", "feat: add PTW subchecks on portal")</f>
        <v/>
      </c>
      <c r="G479" t="inlineStr">
        <is>
          <t>feat/add-ptw-subchecks</t>
        </is>
      </c>
      <c r="H479" t="inlineStr">
        <is>
          <t>sprint-18</t>
        </is>
      </c>
      <c r="I479" t="inlineStr">
        <is>
          <t>merged</t>
        </is>
      </c>
      <c r="J479" t="inlineStr">
        <is>
          <t>c19de839263780b023827f3ee300c737a171111a</t>
        </is>
      </c>
      <c r="K479">
        <f>HYPERLINK("http://gitlab.osmosys.co/incident-reporter/incident-reporter-angular-portal/-/merge_requests/3533#note_241628", "This is using many places so can you take it from ts and reuse it everywhere")</f>
        <v/>
      </c>
      <c r="L479" t="inlineStr">
        <is>
          <t>2025-07-25 00:29:35.690 IST</t>
        </is>
      </c>
      <c r="M479" t="inlineStr">
        <is>
          <t>Soundariya B</t>
        </is>
      </c>
      <c r="N479" t="inlineStr">
        <is>
          <t>Yes</t>
        </is>
      </c>
      <c r="O479" t="inlineStr">
        <is>
          <t>Yes</t>
        </is>
      </c>
      <c r="P479" t="inlineStr">
        <is>
          <t>Raj Kumar</t>
        </is>
      </c>
      <c r="Q479" t="inlineStr">
        <is>
          <t>Bad</t>
        </is>
      </c>
    </row>
    <row r="480">
      <c r="A480" t="inlineStr">
        <is>
          <t>aditya.c</t>
        </is>
      </c>
      <c r="B480" t="inlineStr">
        <is>
          <t>Aditya Chakraborty</t>
        </is>
      </c>
      <c r="C480" t="inlineStr">
        <is>
          <t>aditya.c@osmosys.co</t>
        </is>
      </c>
      <c r="D480" t="inlineStr">
        <is>
          <t>incident-reporter</t>
        </is>
      </c>
      <c r="E480">
        <f>HYPERLINK("http://gitlab.osmosys.co/incident-reporter/incident-reporter-angular-portal", "OQSHA Portal")</f>
        <v/>
      </c>
      <c r="F480">
        <f>HYPERLINK("http://gitlab.osmosys.co/incident-reporter/incident-reporter-angular-portal/-/merge_requests/3533", "feat: add PTW subchecks on portal")</f>
        <v/>
      </c>
      <c r="G480" t="inlineStr">
        <is>
          <t>feat/add-ptw-subchecks</t>
        </is>
      </c>
      <c r="H480" t="inlineStr">
        <is>
          <t>sprint-18</t>
        </is>
      </c>
      <c r="I480" t="inlineStr">
        <is>
          <t>merged</t>
        </is>
      </c>
      <c r="J480" t="inlineStr">
        <is>
          <t>65405aaa2c925fb99a3f5f00cc904bf01db1220a</t>
        </is>
      </c>
      <c r="K480">
        <f>HYPERLINK("http://gitlab.osmosys.co/incident-reporter/incident-reporter-angular-portal/-/merge_requests/3533#note_241629", "It should be txt-dark-color")</f>
        <v/>
      </c>
      <c r="L480" t="inlineStr">
        <is>
          <t>2025-07-25 00:29:35.745 IST</t>
        </is>
      </c>
      <c r="M480" t="inlineStr">
        <is>
          <t>Soundariya B</t>
        </is>
      </c>
      <c r="N480" t="inlineStr">
        <is>
          <t>Yes</t>
        </is>
      </c>
      <c r="O480" t="inlineStr">
        <is>
          <t>Yes</t>
        </is>
      </c>
      <c r="P480" t="inlineStr">
        <is>
          <t>Raj Kumar</t>
        </is>
      </c>
      <c r="Q480" t="inlineStr">
        <is>
          <t>Bad</t>
        </is>
      </c>
    </row>
    <row r="481">
      <c r="A481" t="inlineStr">
        <is>
          <t>aditya.c</t>
        </is>
      </c>
      <c r="B481" t="inlineStr">
        <is>
          <t>Aditya Chakraborty</t>
        </is>
      </c>
      <c r="C481" t="inlineStr">
        <is>
          <t>aditya.c@osmosys.co</t>
        </is>
      </c>
      <c r="D481" t="inlineStr">
        <is>
          <t>incident-reporter</t>
        </is>
      </c>
      <c r="E481">
        <f>HYPERLINK("http://gitlab.osmosys.co/incident-reporter/incident-reporter-angular-portal", "OQSHA Portal")</f>
        <v/>
      </c>
      <c r="F481">
        <f>HYPERLINK("http://gitlab.osmosys.co/incident-reporter/incident-reporter-angular-portal/-/merge_requests/3533", "feat: add PTW subchecks on portal")</f>
        <v/>
      </c>
      <c r="G481" t="inlineStr">
        <is>
          <t>feat/add-ptw-subchecks</t>
        </is>
      </c>
      <c r="H481" t="inlineStr">
        <is>
          <t>sprint-18</t>
        </is>
      </c>
      <c r="I481" t="inlineStr">
        <is>
          <t>merged</t>
        </is>
      </c>
      <c r="J481" t="inlineStr">
        <is>
          <t>3bdb0741c803c6954227a45dc418104180d3d25f</t>
        </is>
      </c>
      <c r="K481">
        <f>HYPERLINK("http://gitlab.osmosys.co/incident-reporter/incident-reporter-angular-portal/-/merge_requests/3533#note_241630", "Get the hardcoded value from lang files - fix it everywhere")</f>
        <v/>
      </c>
      <c r="L481" t="inlineStr">
        <is>
          <t>2025-07-25 00:29:35.799 IST</t>
        </is>
      </c>
      <c r="M481" t="inlineStr">
        <is>
          <t>Soundariya B</t>
        </is>
      </c>
      <c r="N481" t="inlineStr">
        <is>
          <t>Yes</t>
        </is>
      </c>
      <c r="O481" t="inlineStr">
        <is>
          <t>Yes</t>
        </is>
      </c>
      <c r="P481" t="inlineStr">
        <is>
          <t>Raj Kumar</t>
        </is>
      </c>
      <c r="Q481" t="inlineStr">
        <is>
          <t>Bad</t>
        </is>
      </c>
    </row>
    <row r="482">
      <c r="A482" t="inlineStr">
        <is>
          <t>aditya.c</t>
        </is>
      </c>
      <c r="B482" t="inlineStr">
        <is>
          <t>Aditya Chakraborty</t>
        </is>
      </c>
      <c r="C482" t="inlineStr">
        <is>
          <t>aditya.c@osmosys.co</t>
        </is>
      </c>
      <c r="D482" t="inlineStr">
        <is>
          <t>incident-reporter</t>
        </is>
      </c>
      <c r="E482">
        <f>HYPERLINK("http://gitlab.osmosys.co/incident-reporter/incident-reporter-angular-portal", "OQSHA Portal")</f>
        <v/>
      </c>
      <c r="F482">
        <f>HYPERLINK("http://gitlab.osmosys.co/incident-reporter/incident-reporter-angular-portal/-/merge_requests/3533", "feat: add PTW subchecks on portal")</f>
        <v/>
      </c>
      <c r="G482" t="inlineStr">
        <is>
          <t>feat/add-ptw-subchecks</t>
        </is>
      </c>
      <c r="H482" t="inlineStr">
        <is>
          <t>sprint-18</t>
        </is>
      </c>
      <c r="I482" t="inlineStr">
        <is>
          <t>merged</t>
        </is>
      </c>
      <c r="J482" t="inlineStr">
        <is>
          <t>5acb4543d87005a69689106ac18860d34777a7c9</t>
        </is>
      </c>
      <c r="K482">
        <f>HYPERLINK("http://gitlab.osmosys.co/incident-reporter/incident-reporter-angular-portal/-/merge_requests/3533#note_241631", "Can you do all these logic in ts and use it")</f>
        <v/>
      </c>
      <c r="L482" t="inlineStr">
        <is>
          <t>2025-07-25 00:29:35.854 IST</t>
        </is>
      </c>
      <c r="M482" t="inlineStr">
        <is>
          <t>Soundariya B</t>
        </is>
      </c>
      <c r="N482" t="inlineStr">
        <is>
          <t>Yes</t>
        </is>
      </c>
      <c r="O482" t="inlineStr">
        <is>
          <t>Yes</t>
        </is>
      </c>
      <c r="P482" t="inlineStr">
        <is>
          <t>Raj Kumar</t>
        </is>
      </c>
      <c r="Q482" t="inlineStr">
        <is>
          <t>Bad</t>
        </is>
      </c>
    </row>
    <row r="483">
      <c r="A483" t="inlineStr">
        <is>
          <t>aditya.c</t>
        </is>
      </c>
      <c r="B483" t="inlineStr">
        <is>
          <t>Aditya Chakraborty</t>
        </is>
      </c>
      <c r="C483" t="inlineStr">
        <is>
          <t>aditya.c@osmosys.co</t>
        </is>
      </c>
      <c r="D483" t="inlineStr">
        <is>
          <t>incident-reporter</t>
        </is>
      </c>
      <c r="E483">
        <f>HYPERLINK("http://gitlab.osmosys.co/incident-reporter/incident-reporter-angular-portal", "OQSHA Portal")</f>
        <v/>
      </c>
      <c r="F483">
        <f>HYPERLINK("http://gitlab.osmosys.co/incident-reporter/incident-reporter-angular-portal/-/merge_requests/3533", "feat: add PTW subchecks on portal")</f>
        <v/>
      </c>
      <c r="G483" t="inlineStr">
        <is>
          <t>feat/add-ptw-subchecks</t>
        </is>
      </c>
      <c r="H483" t="inlineStr">
        <is>
          <t>sprint-18</t>
        </is>
      </c>
      <c r="I483" t="inlineStr">
        <is>
          <t>merged</t>
        </is>
      </c>
      <c r="J483" t="inlineStr">
        <is>
          <t>708b9dc914aa83b6ca14798fd234422b3693c119</t>
        </is>
      </c>
      <c r="K483">
        <f>HYPERLINK("http://gitlab.osmosys.co/incident-reporter/incident-reporter-angular-portal/-/merge_requests/3533#note_241632", "Removed the comment which are not need in future as code was removed -- Fix it everywhere")</f>
        <v/>
      </c>
      <c r="L483" t="inlineStr">
        <is>
          <t>2025-07-25 00:29:35.929 IST</t>
        </is>
      </c>
      <c r="M483" t="inlineStr">
        <is>
          <t>Soundariya B</t>
        </is>
      </c>
      <c r="N483" t="inlineStr">
        <is>
          <t>Yes</t>
        </is>
      </c>
      <c r="O483" t="inlineStr">
        <is>
          <t>Yes</t>
        </is>
      </c>
      <c r="P483" t="inlineStr">
        <is>
          <t>Raj Kumar</t>
        </is>
      </c>
      <c r="Q483" t="inlineStr">
        <is>
          <t>Bad</t>
        </is>
      </c>
    </row>
    <row r="484">
      <c r="A484" t="inlineStr">
        <is>
          <t>aditya.c</t>
        </is>
      </c>
      <c r="B484" t="inlineStr">
        <is>
          <t>Aditya Chakraborty</t>
        </is>
      </c>
      <c r="C484" t="inlineStr">
        <is>
          <t>aditya.c@osmosys.co</t>
        </is>
      </c>
      <c r="D484" t="inlineStr">
        <is>
          <t>incident-reporter</t>
        </is>
      </c>
      <c r="E484">
        <f>HYPERLINK("http://gitlab.osmosys.co/incident-reporter/incident-reporter-angular-portal", "OQSHA Portal")</f>
        <v/>
      </c>
      <c r="F484">
        <f>HYPERLINK("http://gitlab.osmosys.co/incident-reporter/incident-reporter-angular-portal/-/merge_requests/3533", "feat: add PTW subchecks on portal")</f>
        <v/>
      </c>
      <c r="G484" t="inlineStr">
        <is>
          <t>feat/add-ptw-subchecks</t>
        </is>
      </c>
      <c r="H484" t="inlineStr">
        <is>
          <t>sprint-18</t>
        </is>
      </c>
      <c r="I484" t="inlineStr">
        <is>
          <t>merged</t>
        </is>
      </c>
      <c r="J484" t="inlineStr">
        <is>
          <t>77c7f1c0c458c5d95b56cd4c14ddf96e00188834</t>
        </is>
      </c>
      <c r="K484">
        <f>HYPERLINK("http://gitlab.osmosys.co/incident-reporter/incident-reporter-angular-portal/-/merge_requests/3533#note_241633", "Why did you change whole logic and approach/way of code changed for just add ptw subchecks?
It been very risky so I suggest you to please get check with Hitesh on this and confirmation from Raj")</f>
        <v/>
      </c>
      <c r="L484" t="inlineStr">
        <is>
          <t>2025-07-25 00:29:35.993 IST</t>
        </is>
      </c>
      <c r="M484" t="inlineStr">
        <is>
          <t>Soundariya B</t>
        </is>
      </c>
      <c r="N484" t="inlineStr">
        <is>
          <t>Yes</t>
        </is>
      </c>
      <c r="O484" t="inlineStr">
        <is>
          <t>Yes</t>
        </is>
      </c>
      <c r="P484" t="inlineStr">
        <is>
          <t>Raj Kumar</t>
        </is>
      </c>
      <c r="Q484" t="inlineStr">
        <is>
          <t>Bad</t>
        </is>
      </c>
    </row>
    <row r="485">
      <c r="A485" t="inlineStr">
        <is>
          <t>aditya.c</t>
        </is>
      </c>
      <c r="B485" t="inlineStr">
        <is>
          <t>Aditya Chakraborty</t>
        </is>
      </c>
      <c r="C485" t="inlineStr">
        <is>
          <t>aditya.c@osmosys.co</t>
        </is>
      </c>
      <c r="D485" t="inlineStr">
        <is>
          <t>incident-reporter</t>
        </is>
      </c>
      <c r="E485">
        <f>HYPERLINK("http://gitlab.osmosys.co/incident-reporter/incident-reporter-angular-portal", "OQSHA Portal")</f>
        <v/>
      </c>
      <c r="F485">
        <f>HYPERLINK("http://gitlab.osmosys.co/incident-reporter/incident-reporter-angular-portal/-/merge_requests/3533", "feat: add PTW subchecks on portal")</f>
        <v/>
      </c>
      <c r="G485" t="inlineStr">
        <is>
          <t>feat/add-ptw-subchecks</t>
        </is>
      </c>
      <c r="H485" t="inlineStr">
        <is>
          <t>sprint-18</t>
        </is>
      </c>
      <c r="I485" t="inlineStr">
        <is>
          <t>merged</t>
        </is>
      </c>
      <c r="J485" t="inlineStr">
        <is>
          <t>6021e3e323dc45860af78241ba8e7dd30b346916</t>
        </is>
      </c>
      <c r="K485">
        <f>HYPERLINK("http://gitlab.osmosys.co/incident-reporter/incident-reporter-angular-portal/-/merge_requests/3533#note_241634", "These seems using more than one place but why this much needed?")</f>
        <v/>
      </c>
      <c r="L485" t="inlineStr">
        <is>
          <t>2025-07-25 00:29:36.063 IST</t>
        </is>
      </c>
      <c r="M485" t="inlineStr">
        <is>
          <t>Soundariya B</t>
        </is>
      </c>
      <c r="N485" t="inlineStr">
        <is>
          <t>Yes</t>
        </is>
      </c>
      <c r="O485" t="inlineStr">
        <is>
          <t>Yes</t>
        </is>
      </c>
      <c r="P485" t="inlineStr">
        <is>
          <t>Raj Kumar</t>
        </is>
      </c>
      <c r="Q485" t="inlineStr">
        <is>
          <t>Neutral</t>
        </is>
      </c>
    </row>
    <row r="486">
      <c r="A486" t="inlineStr">
        <is>
          <t>aditya.c</t>
        </is>
      </c>
      <c r="B486" t="inlineStr">
        <is>
          <t>Aditya Chakraborty</t>
        </is>
      </c>
      <c r="C486" t="inlineStr">
        <is>
          <t>aditya.c@osmosys.co</t>
        </is>
      </c>
      <c r="D486" t="inlineStr">
        <is>
          <t>incident-reporter</t>
        </is>
      </c>
      <c r="E486">
        <f>HYPERLINK("http://gitlab.osmosys.co/incident-reporter/incident-reporter-angular-portal", "OQSHA Portal")</f>
        <v/>
      </c>
      <c r="F486">
        <f>HYPERLINK("http://gitlab.osmosys.co/incident-reporter/incident-reporter-angular-portal/-/merge_requests/3533", "feat: add PTW subchecks on portal")</f>
        <v/>
      </c>
      <c r="G486" t="inlineStr">
        <is>
          <t>feat/add-ptw-subchecks</t>
        </is>
      </c>
      <c r="H486" t="inlineStr">
        <is>
          <t>sprint-18</t>
        </is>
      </c>
      <c r="I486" t="inlineStr">
        <is>
          <t>merged</t>
        </is>
      </c>
      <c r="J486" t="inlineStr">
        <is>
          <t>4cc28487ec632d3db265cf32948d200971f12d92</t>
        </is>
      </c>
      <c r="K486">
        <f>HYPERLINK("http://gitlab.osmosys.co/incident-reporter/incident-reporter-angular-portal/-/merge_requests/3533#note_241635", "What is sc here?")</f>
        <v/>
      </c>
      <c r="L486" t="inlineStr">
        <is>
          <t>2025-07-25 00:29:36.168 IST</t>
        </is>
      </c>
      <c r="M486" t="inlineStr">
        <is>
          <t>Soundariya B</t>
        </is>
      </c>
      <c r="N486" t="inlineStr">
        <is>
          <t>Yes</t>
        </is>
      </c>
      <c r="O486" t="inlineStr">
        <is>
          <t>Yes</t>
        </is>
      </c>
      <c r="P486" t="inlineStr">
        <is>
          <t>Raj Kumar</t>
        </is>
      </c>
      <c r="Q486" t="inlineStr">
        <is>
          <t>Neutral</t>
        </is>
      </c>
    </row>
    <row r="487">
      <c r="A487" t="inlineStr">
        <is>
          <t>aditya.c</t>
        </is>
      </c>
      <c r="B487" t="inlineStr">
        <is>
          <t>Aditya Chakraborty</t>
        </is>
      </c>
      <c r="C487" t="inlineStr">
        <is>
          <t>aditya.c@osmosys.co</t>
        </is>
      </c>
      <c r="D487" t="inlineStr">
        <is>
          <t>incident-reporter</t>
        </is>
      </c>
      <c r="E487">
        <f>HYPERLINK("http://gitlab.osmosys.co/incident-reporter/incident-reporter-angular-portal", "OQSHA Portal")</f>
        <v/>
      </c>
      <c r="F487">
        <f>HYPERLINK("http://gitlab.osmosys.co/incident-reporter/incident-reporter-angular-portal/-/merge_requests/3533", "feat: add PTW subchecks on portal")</f>
        <v/>
      </c>
      <c r="G487" t="inlineStr">
        <is>
          <t>feat/add-ptw-subchecks</t>
        </is>
      </c>
      <c r="H487" t="inlineStr">
        <is>
          <t>sprint-18</t>
        </is>
      </c>
      <c r="I487" t="inlineStr">
        <is>
          <t>merged</t>
        </is>
      </c>
      <c r="J487" t="inlineStr">
        <is>
          <t>9069bb520724d7bf0888ceb1c9502dc3583eb42d</t>
        </is>
      </c>
      <c r="K487">
        <f>HYPERLINK("http://gitlab.osmosys.co/incident-reporter/incident-reporter-angular-portal/-/merge_requests/3533#note_241636", "Get the file type from constant file")</f>
        <v/>
      </c>
      <c r="L487" t="inlineStr">
        <is>
          <t>2025-07-25 00:29:36.258 IST</t>
        </is>
      </c>
      <c r="M487" t="inlineStr">
        <is>
          <t>Soundariya B</t>
        </is>
      </c>
      <c r="N487" t="inlineStr">
        <is>
          <t>Yes</t>
        </is>
      </c>
      <c r="O487" t="inlineStr">
        <is>
          <t>Yes</t>
        </is>
      </c>
      <c r="P487" t="inlineStr">
        <is>
          <t>Raj Kumar</t>
        </is>
      </c>
      <c r="Q487" t="inlineStr">
        <is>
          <t>Bad</t>
        </is>
      </c>
    </row>
    <row r="488">
      <c r="A488" t="inlineStr">
        <is>
          <t>aditya.c</t>
        </is>
      </c>
      <c r="B488" t="inlineStr">
        <is>
          <t>Aditya Chakraborty</t>
        </is>
      </c>
      <c r="C488" t="inlineStr">
        <is>
          <t>aditya.c@osmosys.co</t>
        </is>
      </c>
      <c r="D488" t="inlineStr">
        <is>
          <t>incident-reporter</t>
        </is>
      </c>
      <c r="E488">
        <f>HYPERLINK("http://gitlab.osmosys.co/incident-reporter/incident-reporter-angular-portal", "OQSHA Portal")</f>
        <v/>
      </c>
      <c r="F488">
        <f>HYPERLINK("http://gitlab.osmosys.co/incident-reporter/incident-reporter-angular-portal/-/merge_requests/3533", "feat: add PTW subchecks on portal")</f>
        <v/>
      </c>
      <c r="G488" t="inlineStr">
        <is>
          <t>feat/add-ptw-subchecks</t>
        </is>
      </c>
      <c r="H488" t="inlineStr">
        <is>
          <t>sprint-18</t>
        </is>
      </c>
      <c r="I488" t="inlineStr">
        <is>
          <t>merged</t>
        </is>
      </c>
      <c r="J488" t="inlineStr">
        <is>
          <t>e033c7d80001a84ceee4f7be4fd12114838f2249</t>
        </is>
      </c>
      <c r="K488">
        <f>HYPERLINK("http://gitlab.osmosys.co/incident-reporter/incident-reporter-angular-portal/-/merge_requests/3533#note_241637", "* Alt is missing here for img
* title is missing here for achor
* In both tags should use same method either binding or {{...}}")</f>
        <v/>
      </c>
      <c r="L488" t="inlineStr">
        <is>
          <t>2025-07-25 00:29:36.316 IST</t>
        </is>
      </c>
      <c r="M488" t="inlineStr">
        <is>
          <t>Soundariya B</t>
        </is>
      </c>
      <c r="N488" t="inlineStr">
        <is>
          <t>Yes</t>
        </is>
      </c>
      <c r="O488" t="inlineStr">
        <is>
          <t>Yes</t>
        </is>
      </c>
      <c r="P488" t="inlineStr">
        <is>
          <t>Raj Kumar</t>
        </is>
      </c>
      <c r="Q488" t="inlineStr">
        <is>
          <t>Bad</t>
        </is>
      </c>
    </row>
    <row r="489">
      <c r="A489" t="inlineStr">
        <is>
          <t>aditya.c</t>
        </is>
      </c>
      <c r="B489" t="inlineStr">
        <is>
          <t>Aditya Chakraborty</t>
        </is>
      </c>
      <c r="C489" t="inlineStr">
        <is>
          <t>aditya.c@osmosys.co</t>
        </is>
      </c>
      <c r="D489" t="inlineStr">
        <is>
          <t>incident-reporter</t>
        </is>
      </c>
      <c r="E489">
        <f>HYPERLINK("http://gitlab.osmosys.co/incident-reporter/incident-reporter-angular-portal", "OQSHA Portal")</f>
        <v/>
      </c>
      <c r="F489">
        <f>HYPERLINK("http://gitlab.osmosys.co/incident-reporter/incident-reporter-angular-portal/-/merge_requests/3533", "feat: add PTW subchecks on portal")</f>
        <v/>
      </c>
      <c r="G489" t="inlineStr">
        <is>
          <t>feat/add-ptw-subchecks</t>
        </is>
      </c>
      <c r="H489" t="inlineStr">
        <is>
          <t>sprint-18</t>
        </is>
      </c>
      <c r="I489" t="inlineStr">
        <is>
          <t>merged</t>
        </is>
      </c>
      <c r="J489" t="inlineStr">
        <is>
          <t>beece87da1c8d730a1b10c289a986e93ab9f7523</t>
        </is>
      </c>
      <c r="K489">
        <f>HYPERLINK("http://gitlab.osmosys.co/incident-reporter/incident-reporter-angular-portal/-/merge_requests/3533#note_241638", "What is this i,j,k? PLease use meaning full variables ---Fix it everywhere")</f>
        <v/>
      </c>
      <c r="L489" t="inlineStr">
        <is>
          <t>2025-07-25 00:29:36.374 IST</t>
        </is>
      </c>
      <c r="M489" t="inlineStr">
        <is>
          <t>Soundariya B</t>
        </is>
      </c>
      <c r="N489" t="inlineStr">
        <is>
          <t>Yes</t>
        </is>
      </c>
      <c r="O489" t="inlineStr">
        <is>
          <t>Yes</t>
        </is>
      </c>
      <c r="P489" t="inlineStr">
        <is>
          <t>Raj Kumar</t>
        </is>
      </c>
      <c r="Q489" t="inlineStr">
        <is>
          <t>Bad</t>
        </is>
      </c>
    </row>
    <row r="490">
      <c r="A490" t="inlineStr">
        <is>
          <t>aditya.c</t>
        </is>
      </c>
      <c r="B490" t="inlineStr">
        <is>
          <t>Aditya Chakraborty</t>
        </is>
      </c>
      <c r="C490" t="inlineStr">
        <is>
          <t>aditya.c@osmosys.co</t>
        </is>
      </c>
      <c r="D490" t="inlineStr">
        <is>
          <t>incident-reporter</t>
        </is>
      </c>
      <c r="E490">
        <f>HYPERLINK("http://gitlab.osmosys.co/incident-reporter/incident-reporter-angular-portal", "OQSHA Portal")</f>
        <v/>
      </c>
      <c r="F490">
        <f>HYPERLINK("http://gitlab.osmosys.co/incident-reporter/incident-reporter-angular-portal/-/merge_requests/3533", "feat: add PTW subchecks on portal")</f>
        <v/>
      </c>
      <c r="G490" t="inlineStr">
        <is>
          <t>feat/add-ptw-subchecks</t>
        </is>
      </c>
      <c r="H490" t="inlineStr">
        <is>
          <t>sprint-18</t>
        </is>
      </c>
      <c r="I490" t="inlineStr">
        <is>
          <t>merged</t>
        </is>
      </c>
      <c r="J490" t="inlineStr">
        <is>
          <t>727b5fd32155ef2bfffad849d091a0bde50a2e45</t>
        </is>
      </c>
      <c r="K490">
        <f>HYPERLINK("http://gitlab.osmosys.co/incident-reporter/incident-reporter-angular-portal/-/merge_requests/3533#note_241639", "Can you get settings from TS file -- fix it everywhere")</f>
        <v/>
      </c>
      <c r="L490" t="inlineStr">
        <is>
          <t>2025-07-25 00:29:36.430 IST</t>
        </is>
      </c>
      <c r="M490" t="inlineStr">
        <is>
          <t>Soundariya B</t>
        </is>
      </c>
      <c r="N490" t="inlineStr">
        <is>
          <t>Yes</t>
        </is>
      </c>
      <c r="O490" t="inlineStr">
        <is>
          <t>Yes</t>
        </is>
      </c>
      <c r="P490" t="inlineStr">
        <is>
          <t>Raj Kumar</t>
        </is>
      </c>
      <c r="Q490" t="inlineStr">
        <is>
          <t>Bad</t>
        </is>
      </c>
    </row>
    <row r="491">
      <c r="A491" t="inlineStr">
        <is>
          <t>aditya.c</t>
        </is>
      </c>
      <c r="B491" t="inlineStr">
        <is>
          <t>Aditya Chakraborty</t>
        </is>
      </c>
      <c r="C491" t="inlineStr">
        <is>
          <t>aditya.c@osmosys.co</t>
        </is>
      </c>
      <c r="D491" t="inlineStr">
        <is>
          <t>incident-reporter</t>
        </is>
      </c>
      <c r="E491">
        <f>HYPERLINK("http://gitlab.osmosys.co/incident-reporter/incident-reporter-angular-portal", "OQSHA Portal")</f>
        <v/>
      </c>
      <c r="F491">
        <f>HYPERLINK("http://gitlab.osmosys.co/incident-reporter/incident-reporter-angular-portal/-/merge_requests/3533", "feat: add PTW subchecks on portal")</f>
        <v/>
      </c>
      <c r="G491" t="inlineStr">
        <is>
          <t>feat/add-ptw-subchecks</t>
        </is>
      </c>
      <c r="H491" t="inlineStr">
        <is>
          <t>sprint-18</t>
        </is>
      </c>
      <c r="I491" t="inlineStr">
        <is>
          <t>merged</t>
        </is>
      </c>
      <c r="J491" t="inlineStr">
        <is>
          <t>e710263c363eabc31e292280028512aca6c82452</t>
        </is>
      </c>
      <c r="K491">
        <f>HYPERLINK("http://gitlab.osmosys.co/incident-reporter/incident-reporter-angular-portal/-/merge_requests/3533#note_241640", "Can you add all these label to other lang files as well and also add for 248 eng json")</f>
        <v/>
      </c>
      <c r="L491" t="inlineStr">
        <is>
          <t>2025-07-25 00:29:36.522 IST</t>
        </is>
      </c>
      <c r="M491" t="inlineStr">
        <is>
          <t>Soundariya B</t>
        </is>
      </c>
      <c r="N491" t="inlineStr">
        <is>
          <t>Yes</t>
        </is>
      </c>
      <c r="O491" t="inlineStr">
        <is>
          <t>Yes</t>
        </is>
      </c>
      <c r="P491" t="inlineStr">
        <is>
          <t>Raj Kumar</t>
        </is>
      </c>
      <c r="Q491" t="inlineStr">
        <is>
          <t>Good</t>
        </is>
      </c>
    </row>
    <row r="492">
      <c r="A492" t="inlineStr">
        <is>
          <t>aditya.c</t>
        </is>
      </c>
      <c r="B492" t="inlineStr">
        <is>
          <t>Aditya Chakraborty</t>
        </is>
      </c>
      <c r="C492" t="inlineStr">
        <is>
          <t>aditya.c@osmosys.co</t>
        </is>
      </c>
      <c r="D492" t="inlineStr">
        <is>
          <t>incident-reporter</t>
        </is>
      </c>
      <c r="E492">
        <f>HYPERLINK("http://gitlab.osmosys.co/incident-reporter/incident-reporter-angular-portal", "OQSHA Portal")</f>
        <v/>
      </c>
      <c r="F492">
        <f>HYPERLINK("http://gitlab.osmosys.co/incident-reporter/incident-reporter-angular-portal/-/merge_requests/3533", "feat: add PTW subchecks on portal")</f>
        <v/>
      </c>
      <c r="G492" t="inlineStr">
        <is>
          <t>feat/add-ptw-subchecks</t>
        </is>
      </c>
      <c r="H492" t="inlineStr">
        <is>
          <t>sprint-18</t>
        </is>
      </c>
      <c r="I492" t="inlineStr">
        <is>
          <t>merged</t>
        </is>
      </c>
      <c r="J492" t="inlineStr">
        <is>
          <t>e710263c363eabc31e292280028512aca6c82452</t>
        </is>
      </c>
      <c r="K492">
        <f>HYPERLINK("http://gitlab.osmosys.co/incident-reporter/incident-reporter-angular-portal/-/merge_requests/3533#note_242508", "They are present already
![image](/uploads/d9350d1bfc7edcea2b8f22ea723f3cca/image.png){width=871 height=480}")</f>
        <v/>
      </c>
      <c r="L492" t="inlineStr">
        <is>
          <t>2025-07-26 14:01:25.916 IST</t>
        </is>
      </c>
      <c r="M492" t="inlineStr">
        <is>
          <t>Aditya Chakraborty</t>
        </is>
      </c>
      <c r="N492" t="inlineStr">
        <is>
          <t>No</t>
        </is>
      </c>
      <c r="O492" t="inlineStr">
        <is>
          <t>Yes</t>
        </is>
      </c>
      <c r="P492" t="inlineStr">
        <is>
          <t>Raj Kumar</t>
        </is>
      </c>
      <c r="Q492" t="inlineStr">
        <is>
          <t>Good</t>
        </is>
      </c>
    </row>
    <row r="493">
      <c r="A493" t="inlineStr">
        <is>
          <t>aditya.c</t>
        </is>
      </c>
      <c r="B493" t="inlineStr">
        <is>
          <t>Aditya Chakraborty</t>
        </is>
      </c>
      <c r="C493" t="inlineStr">
        <is>
          <t>aditya.c@osmosys.co</t>
        </is>
      </c>
      <c r="D493" t="inlineStr">
        <is>
          <t>incident-reporter</t>
        </is>
      </c>
      <c r="E493">
        <f>HYPERLINK("http://gitlab.osmosys.co/incident-reporter/incident-reporter-angular-portal", "OQSHA Portal")</f>
        <v/>
      </c>
      <c r="F493">
        <f>HYPERLINK("http://gitlab.osmosys.co/incident-reporter/incident-reporter-angular-portal/-/merge_requests/3533", "feat: add PTW subchecks on portal")</f>
        <v/>
      </c>
      <c r="G493" t="inlineStr">
        <is>
          <t>feat/add-ptw-subchecks</t>
        </is>
      </c>
      <c r="H493" t="inlineStr">
        <is>
          <t>sprint-18</t>
        </is>
      </c>
      <c r="I493" t="inlineStr">
        <is>
          <t>merged</t>
        </is>
      </c>
      <c r="J493" t="inlineStr">
        <is>
          <t>1486465f887c9605f7b062cf4b5c1f244bb7d107</t>
        </is>
      </c>
      <c r="K493">
        <f>HYPERLINK("http://gitlab.osmosys.co/incident-reporter/incident-reporter-angular-portal/-/merge_requests/3533#note_241642", "NOTE: **For the 1 changes seems there are major and huge changes so I suggest you to please check with Raj and Hitesh, also test all cases which are existing and new one both - Because I don't want any breakage while releasing**")</f>
        <v/>
      </c>
      <c r="L493" t="inlineStr">
        <is>
          <t>2025-07-25 00:31:47.425 IST</t>
        </is>
      </c>
      <c r="M493" t="inlineStr">
        <is>
          <t>Soundariya B</t>
        </is>
      </c>
      <c r="N493" t="inlineStr">
        <is>
          <t>Yes</t>
        </is>
      </c>
      <c r="O493" t="inlineStr">
        <is>
          <t>Yes</t>
        </is>
      </c>
      <c r="P493" t="inlineStr">
        <is>
          <t>Raj Kumar</t>
        </is>
      </c>
      <c r="Q493" t="inlineStr">
        <is>
          <t>Good</t>
        </is>
      </c>
    </row>
    <row r="494">
      <c r="A494" t="inlineStr">
        <is>
          <t>aditya.c</t>
        </is>
      </c>
      <c r="B494" t="inlineStr">
        <is>
          <t>Aditya Chakraborty</t>
        </is>
      </c>
      <c r="C494" t="inlineStr">
        <is>
          <t>aditya.c@osmosys.co</t>
        </is>
      </c>
      <c r="D494" t="inlineStr">
        <is>
          <t>incident-reporter</t>
        </is>
      </c>
      <c r="E494">
        <f>HYPERLINK("http://gitlab.osmosys.co/incident-reporter/incident-reporter-angular-portal", "OQSHA Portal")</f>
        <v/>
      </c>
      <c r="F494">
        <f>HYPERLINK("http://gitlab.osmosys.co/incident-reporter/incident-reporter-angular-portal/-/merge_requests/3533", "feat: add PTW subchecks on portal")</f>
        <v/>
      </c>
      <c r="G494" t="inlineStr">
        <is>
          <t>feat/add-ptw-subchecks</t>
        </is>
      </c>
      <c r="H494" t="inlineStr">
        <is>
          <t>sprint-18</t>
        </is>
      </c>
      <c r="I494" t="inlineStr">
        <is>
          <t>merged</t>
        </is>
      </c>
      <c r="J494" t="inlineStr">
        <is>
          <t>1486465f887c9605f7b062cf4b5c1f244bb7d107</t>
        </is>
      </c>
      <c r="K494">
        <f>HYPERLINK("http://gitlab.osmosys.co/incident-reporter/incident-reporter-angular-portal/-/merge_requests/3533#note_241786", "Got on a call with aditya looked at changes and structure of code, things looks fine to me")</f>
        <v/>
      </c>
      <c r="L494" t="inlineStr">
        <is>
          <t>2025-07-25 12:59:42.702 IST</t>
        </is>
      </c>
      <c r="M494" t="inlineStr">
        <is>
          <t>Hitesh Kandpal</t>
        </is>
      </c>
      <c r="N494" t="inlineStr">
        <is>
          <t>Yes</t>
        </is>
      </c>
      <c r="O494" t="inlineStr">
        <is>
          <t>Yes</t>
        </is>
      </c>
      <c r="P494" t="inlineStr">
        <is>
          <t>Raj Kumar</t>
        </is>
      </c>
      <c r="Q494" t="inlineStr">
        <is>
          <t>Good</t>
        </is>
      </c>
    </row>
    <row r="495">
      <c r="A495" t="inlineStr">
        <is>
          <t>aditya.c</t>
        </is>
      </c>
      <c r="B495" t="inlineStr">
        <is>
          <t>Aditya Chakraborty</t>
        </is>
      </c>
      <c r="C495" t="inlineStr">
        <is>
          <t>aditya.c@osmosys.co</t>
        </is>
      </c>
      <c r="D495" t="inlineStr">
        <is>
          <t>incident-reporter</t>
        </is>
      </c>
      <c r="E495">
        <f>HYPERLINK("http://gitlab.osmosys.co/incident-reporter/incident-reporter-angular-portal", "OQSHA Portal")</f>
        <v/>
      </c>
      <c r="F495">
        <f>HYPERLINK("http://gitlab.osmosys.co/incident-reporter/incident-reporter-angular-portal/-/merge_requests/3525", "feat: remove local storage objects on logout")</f>
        <v/>
      </c>
      <c r="G495" t="inlineStr">
        <is>
          <t>fix/clear-local-storage</t>
        </is>
      </c>
      <c r="H495" t="inlineStr">
        <is>
          <t>sprint-17</t>
        </is>
      </c>
      <c r="I495" t="inlineStr">
        <is>
          <t>merged</t>
        </is>
      </c>
      <c r="J495" t="inlineStr"/>
      <c r="K495" t="inlineStr"/>
      <c r="L495" t="inlineStr"/>
      <c r="M495" t="inlineStr"/>
      <c r="N495" t="inlineStr"/>
      <c r="O495" t="inlineStr"/>
      <c r="P495" t="inlineStr"/>
      <c r="Q495" t="inlineStr"/>
    </row>
    <row r="496">
      <c r="A496" t="inlineStr">
        <is>
          <t>aditya.c</t>
        </is>
      </c>
      <c r="B496" t="inlineStr">
        <is>
          <t>Aditya Chakraborty</t>
        </is>
      </c>
      <c r="C496" t="inlineStr">
        <is>
          <t>aditya.c@osmosys.co</t>
        </is>
      </c>
      <c r="D496" t="inlineStr">
        <is>
          <t>incident-reporter</t>
        </is>
      </c>
      <c r="E496">
        <f>HYPERLINK("http://gitlab.osmosys.co/incident-reporter/incident-reporter-angular-portal", "OQSHA Portal")</f>
        <v/>
      </c>
      <c r="F496">
        <f>HYPERLINK("http://gitlab.osmosys.co/incident-reporter/incident-reporter-angular-portal/-/merge_requests/3514", "fix: resolve dept redirection logic after editing")</f>
        <v/>
      </c>
      <c r="G496" t="inlineStr">
        <is>
          <t>fix/dept-redirection-logic</t>
        </is>
      </c>
      <c r="H496" t="inlineStr">
        <is>
          <t>sprint-17</t>
        </is>
      </c>
      <c r="I496" t="inlineStr">
        <is>
          <t>merged</t>
        </is>
      </c>
      <c r="J496" t="inlineStr"/>
      <c r="K496" t="inlineStr"/>
      <c r="L496" t="inlineStr"/>
      <c r="M496" t="inlineStr"/>
      <c r="N496" t="inlineStr"/>
      <c r="O496" t="inlineStr"/>
      <c r="P496" t="inlineStr"/>
      <c r="Q496" t="inlineStr"/>
    </row>
    <row r="497">
      <c r="A497" t="inlineStr">
        <is>
          <t>aditya.c</t>
        </is>
      </c>
      <c r="B497" t="inlineStr">
        <is>
          <t>Aditya Chakraborty</t>
        </is>
      </c>
      <c r="C497" t="inlineStr">
        <is>
          <t>aditya.c@osmosys.co</t>
        </is>
      </c>
      <c r="D497" t="inlineStr">
        <is>
          <t>incident-reporter</t>
        </is>
      </c>
      <c r="E497">
        <f>HYPERLINK("http://gitlab.osmosys.co/incident-reporter/incident-reporter-angular-portal", "OQSHA Portal")</f>
        <v/>
      </c>
      <c r="F497">
        <f>HYPERLINK("http://gitlab.osmosys.co/incident-reporter/incident-reporter-angular-portal/-/merge_requests/3508", "fix: update redirection logic after updation of ptw config")</f>
        <v/>
      </c>
      <c r="G497" t="inlineStr">
        <is>
          <t>fix/ptw-setting-route</t>
        </is>
      </c>
      <c r="H497" t="inlineStr">
        <is>
          <t>sprint-17</t>
        </is>
      </c>
      <c r="I497" t="inlineStr">
        <is>
          <t>merged</t>
        </is>
      </c>
      <c r="J497" t="inlineStr"/>
      <c r="K497" t="inlineStr"/>
      <c r="L497" t="inlineStr"/>
      <c r="M497" t="inlineStr"/>
      <c r="N497" t="inlineStr"/>
      <c r="O497" t="inlineStr"/>
      <c r="P497" t="inlineStr"/>
      <c r="Q497" t="inlineStr"/>
    </row>
    <row r="498">
      <c r="A498" t="inlineStr">
        <is>
          <t>aditya.c</t>
        </is>
      </c>
      <c r="B498" t="inlineStr">
        <is>
          <t>Aditya Chakraborty</t>
        </is>
      </c>
      <c r="C498" t="inlineStr">
        <is>
          <t>aditya.c@osmosys.co</t>
        </is>
      </c>
      <c r="D498" t="inlineStr">
        <is>
          <t>incident-reporter</t>
        </is>
      </c>
      <c r="E498">
        <f>HYPERLINK("http://gitlab.osmosys.co/incident-reporter/incident-reporter-angular-portal", "OQSHA Portal")</f>
        <v/>
      </c>
      <c r="F498">
        <f>HYPERLINK("http://gitlab.osmosys.co/incident-reporter/incident-reporter-angular-portal/-/merge_requests/3507", "feat: add subchecks to ptw config")</f>
        <v/>
      </c>
      <c r="G498" t="inlineStr">
        <is>
          <t>feat/add-subchecks</t>
        </is>
      </c>
      <c r="H498" t="inlineStr">
        <is>
          <t>sprint-17</t>
        </is>
      </c>
      <c r="I498" t="inlineStr">
        <is>
          <t>closed</t>
        </is>
      </c>
      <c r="J498" t="inlineStr"/>
      <c r="K498" t="inlineStr"/>
      <c r="L498" t="inlineStr"/>
      <c r="M498" t="inlineStr"/>
      <c r="N498" t="inlineStr"/>
      <c r="O498" t="inlineStr"/>
      <c r="P498" t="inlineStr"/>
      <c r="Q498" t="inlineStr"/>
    </row>
    <row r="499">
      <c r="A499" t="inlineStr">
        <is>
          <t>aditya.c</t>
        </is>
      </c>
      <c r="B499" t="inlineStr">
        <is>
          <t>Aditya Chakraborty</t>
        </is>
      </c>
      <c r="C499" t="inlineStr">
        <is>
          <t>aditya.c@osmosys.co</t>
        </is>
      </c>
      <c r="D499" t="inlineStr">
        <is>
          <t>incident-reporter</t>
        </is>
      </c>
      <c r="E499">
        <f>HYPERLINK("http://gitlab.osmosys.co/incident-reporter/incident-reporter-angular-portal", "OQSHA Portal")</f>
        <v/>
      </c>
      <c r="F499">
        <f>HYPERLINK("http://gitlab.osmosys.co/incident-reporter/incident-reporter-angular-portal/-/merge_requests/3503", "fix: hide ptw fields based on org level permissions")</f>
        <v/>
      </c>
      <c r="G499" t="inlineStr">
        <is>
          <t>fix/hide-ptw-fields</t>
        </is>
      </c>
      <c r="H499" t="inlineStr">
        <is>
          <t>sprint-17</t>
        </is>
      </c>
      <c r="I499" t="inlineStr">
        <is>
          <t>merged</t>
        </is>
      </c>
      <c r="J499" t="inlineStr">
        <is>
          <t>9e2556bcf31718948487703333e84cae2926319d</t>
        </is>
      </c>
      <c r="K499">
        <f>HYPERLINK("http://gitlab.osmosys.co/incident-reporter/incident-reporter-angular-portal/-/merge_requests/3503#note_238979", "Please do this storing and initializing on load of the page and use it here because you are doing same in both methods - showPTW and showTasks")</f>
        <v/>
      </c>
      <c r="L499" t="inlineStr">
        <is>
          <t>2025-07-18 19:47:50.713 IST</t>
        </is>
      </c>
      <c r="M499" t="inlineStr">
        <is>
          <t>Soundariya B</t>
        </is>
      </c>
      <c r="N499" t="inlineStr">
        <is>
          <t>Yes</t>
        </is>
      </c>
      <c r="O499" t="inlineStr">
        <is>
          <t>Yes</t>
        </is>
      </c>
      <c r="P499" t="inlineStr">
        <is>
          <t>Soundariya B</t>
        </is>
      </c>
      <c r="Q499" t="inlineStr">
        <is>
          <t>Bad</t>
        </is>
      </c>
    </row>
    <row r="500">
      <c r="A500" t="inlineStr">
        <is>
          <t>aditya.c</t>
        </is>
      </c>
      <c r="B500" t="inlineStr">
        <is>
          <t>Aditya Chakraborty</t>
        </is>
      </c>
      <c r="C500" t="inlineStr">
        <is>
          <t>aditya.c@osmosys.co</t>
        </is>
      </c>
      <c r="D500" t="inlineStr">
        <is>
          <t>incident-reporter</t>
        </is>
      </c>
      <c r="E500">
        <f>HYPERLINK("http://gitlab.osmosys.co/incident-reporter/incident-reporter-angular-portal", "OQSHA Portal")</f>
        <v/>
      </c>
      <c r="F500">
        <f>HYPERLINK("http://gitlab.osmosys.co/incident-reporter/incident-reporter-angular-portal/-/merge_requests/3503", "fix: hide ptw fields based on org level permissions")</f>
        <v/>
      </c>
      <c r="G500" t="inlineStr">
        <is>
          <t>fix/hide-ptw-fields</t>
        </is>
      </c>
      <c r="H500" t="inlineStr">
        <is>
          <t>sprint-17</t>
        </is>
      </c>
      <c r="I500" t="inlineStr">
        <is>
          <t>merged</t>
        </is>
      </c>
      <c r="J500" t="inlineStr">
        <is>
          <t>8b30b3f5154e05e3fc419958ebfbf8f254963e1c</t>
        </is>
      </c>
      <c r="K500">
        <f>HYPERLINK("http://gitlab.osmosys.co/incident-reporter/incident-reporter-angular-portal/-/merge_requests/3503#note_238980", "Declare the data type - fix it everywhere")</f>
        <v/>
      </c>
      <c r="L500" t="inlineStr">
        <is>
          <t>2025-07-18 19:47:50.812 IST</t>
        </is>
      </c>
      <c r="M500" t="inlineStr">
        <is>
          <t>Soundariya B</t>
        </is>
      </c>
      <c r="N500" t="inlineStr">
        <is>
          <t>Yes</t>
        </is>
      </c>
      <c r="O500" t="inlineStr">
        <is>
          <t>Yes</t>
        </is>
      </c>
      <c r="P500" t="inlineStr">
        <is>
          <t>Soundariya B</t>
        </is>
      </c>
      <c r="Q500" t="inlineStr">
        <is>
          <t>Bad</t>
        </is>
      </c>
    </row>
    <row r="501">
      <c r="A501" t="inlineStr">
        <is>
          <t>aditya.c</t>
        </is>
      </c>
      <c r="B501" t="inlineStr">
        <is>
          <t>Aditya Chakraborty</t>
        </is>
      </c>
      <c r="C501" t="inlineStr">
        <is>
          <t>aditya.c@osmosys.co</t>
        </is>
      </c>
      <c r="D501" t="inlineStr">
        <is>
          <t>incident-reporter</t>
        </is>
      </c>
      <c r="E501">
        <f>HYPERLINK("http://gitlab.osmosys.co/incident-reporter/incident-reporter-angular-portal", "OQSHA Portal")</f>
        <v/>
      </c>
      <c r="F501">
        <f>HYPERLINK("http://gitlab.osmosys.co/incident-reporter/incident-reporter-angular-portal/-/merge_requests/3503", "fix: hide ptw fields based on org level permissions")</f>
        <v/>
      </c>
      <c r="G501" t="inlineStr">
        <is>
          <t>fix/hide-ptw-fields</t>
        </is>
      </c>
      <c r="H501" t="inlineStr">
        <is>
          <t>sprint-17</t>
        </is>
      </c>
      <c r="I501" t="inlineStr">
        <is>
          <t>merged</t>
        </is>
      </c>
      <c r="J501" t="inlineStr">
        <is>
          <t>2e1864f8ae8cb540fb744e066dea9b5b4e286037</t>
        </is>
      </c>
      <c r="K501">
        <f>HYPERLINK("http://gitlab.osmosys.co/incident-reporter/incident-reporter-angular-portal/-/merge_requests/3503#note_238981", "Same here - Fix it everywhere")</f>
        <v/>
      </c>
      <c r="L501" t="inlineStr">
        <is>
          <t>2025-07-18 19:47:50.865 IST</t>
        </is>
      </c>
      <c r="M501" t="inlineStr">
        <is>
          <t>Soundariya B</t>
        </is>
      </c>
      <c r="N501" t="inlineStr">
        <is>
          <t>Yes</t>
        </is>
      </c>
      <c r="O501" t="inlineStr">
        <is>
          <t>Yes</t>
        </is>
      </c>
      <c r="P501" t="inlineStr">
        <is>
          <t>Soundariya B</t>
        </is>
      </c>
      <c r="Q501" t="inlineStr">
        <is>
          <t>Bad</t>
        </is>
      </c>
    </row>
    <row r="502">
      <c r="A502" t="inlineStr">
        <is>
          <t>aditya.c</t>
        </is>
      </c>
      <c r="B502" t="inlineStr">
        <is>
          <t>Aditya Chakraborty</t>
        </is>
      </c>
      <c r="C502" t="inlineStr">
        <is>
          <t>aditya.c@osmosys.co</t>
        </is>
      </c>
      <c r="D502" t="inlineStr">
        <is>
          <t>incident-reporter</t>
        </is>
      </c>
      <c r="E502">
        <f>HYPERLINK("http://gitlab.osmosys.co/incident-reporter/incident-reporter-angular-portal", "OQSHA Portal")</f>
        <v/>
      </c>
      <c r="F502">
        <f>HYPERLINK("http://gitlab.osmosys.co/incident-reporter/incident-reporter-angular-portal/-/merge_requests/3503", "fix: hide ptw fields based on org level permissions")</f>
        <v/>
      </c>
      <c r="G502" t="inlineStr">
        <is>
          <t>fix/hide-ptw-fields</t>
        </is>
      </c>
      <c r="H502" t="inlineStr">
        <is>
          <t>sprint-17</t>
        </is>
      </c>
      <c r="I502" t="inlineStr">
        <is>
          <t>merged</t>
        </is>
      </c>
      <c r="J502" t="inlineStr">
        <is>
          <t>ceb39bc4c1b37c89886603a8a4b58c77a4bc816c</t>
        </is>
      </c>
      <c r="K502">
        <f>HYPERLINK("http://gitlab.osmosys.co/incident-reporter/incident-reporter-angular-portal/-/merge_requests/3503#note_238982", "Declare the data type - fix it everywhere")</f>
        <v/>
      </c>
      <c r="L502" t="inlineStr">
        <is>
          <t>2025-07-18 19:47:50.948 IST</t>
        </is>
      </c>
      <c r="M502" t="inlineStr">
        <is>
          <t>Soundariya B</t>
        </is>
      </c>
      <c r="N502" t="inlineStr">
        <is>
          <t>Yes</t>
        </is>
      </c>
      <c r="O502" t="inlineStr">
        <is>
          <t>Yes</t>
        </is>
      </c>
      <c r="P502" t="inlineStr">
        <is>
          <t>Soundariya B</t>
        </is>
      </c>
      <c r="Q502" t="inlineStr">
        <is>
          <t>Bad</t>
        </is>
      </c>
    </row>
    <row r="503">
      <c r="A503" t="inlineStr">
        <is>
          <t>aditya.c</t>
        </is>
      </c>
      <c r="B503" t="inlineStr">
        <is>
          <t>Aditya Chakraborty</t>
        </is>
      </c>
      <c r="C503" t="inlineStr">
        <is>
          <t>aditya.c@osmosys.co</t>
        </is>
      </c>
      <c r="D503" t="inlineStr">
        <is>
          <t>incident-reporter</t>
        </is>
      </c>
      <c r="E503">
        <f>HYPERLINK("http://gitlab.osmosys.co/incident-reporter/incident-reporter-angular-portal", "OQSHA Portal")</f>
        <v/>
      </c>
      <c r="F503">
        <f>HYPERLINK("http://gitlab.osmosys.co/incident-reporter/incident-reporter-angular-portal/-/merge_requests/3503", "fix: hide ptw fields based on org level permissions")</f>
        <v/>
      </c>
      <c r="G503" t="inlineStr">
        <is>
          <t>fix/hide-ptw-fields</t>
        </is>
      </c>
      <c r="H503" t="inlineStr">
        <is>
          <t>sprint-17</t>
        </is>
      </c>
      <c r="I503" t="inlineStr">
        <is>
          <t>merged</t>
        </is>
      </c>
      <c r="J503" t="inlineStr">
        <is>
          <t>35786f61138a58be66cc03ba00278626786893d3</t>
        </is>
      </c>
      <c r="K503">
        <f>HYPERLINK("http://gitlab.osmosys.co/incident-reporter/incident-reporter-angular-portal/-/merge_requests/3503#note_238984", "Attached test cases are not cleared")</f>
        <v/>
      </c>
      <c r="L503" t="inlineStr">
        <is>
          <t>2025-07-18 19:48:12.685 IST</t>
        </is>
      </c>
      <c r="M503" t="inlineStr">
        <is>
          <t>Soundariya B</t>
        </is>
      </c>
      <c r="N503" t="inlineStr">
        <is>
          <t>Yes</t>
        </is>
      </c>
      <c r="O503" t="inlineStr">
        <is>
          <t>Yes</t>
        </is>
      </c>
      <c r="P503" t="inlineStr">
        <is>
          <t>Soundariya B</t>
        </is>
      </c>
      <c r="Q503" t="inlineStr">
        <is>
          <t>Bad</t>
        </is>
      </c>
    </row>
    <row r="504">
      <c r="A504" t="inlineStr">
        <is>
          <t>aditya.c</t>
        </is>
      </c>
      <c r="B504" t="inlineStr">
        <is>
          <t>Aditya Chakraborty</t>
        </is>
      </c>
      <c r="C504" t="inlineStr">
        <is>
          <t>aditya.c@osmosys.co</t>
        </is>
      </c>
      <c r="D504" t="inlineStr">
        <is>
          <t>incident-reporter</t>
        </is>
      </c>
      <c r="E504">
        <f>HYPERLINK("http://gitlab.osmosys.co/incident-reporter/incident-reporter-angular-portal", "OQSHA Portal")</f>
        <v/>
      </c>
      <c r="F504">
        <f>HYPERLINK("http://gitlab.osmosys.co/incident-reporter/incident-reporter-angular-portal/-/merge_requests/3501", "fix: remove skip pipe")</f>
        <v/>
      </c>
      <c r="G504" t="inlineStr">
        <is>
          <t>fix/tickets-reload-data</t>
        </is>
      </c>
      <c r="H504" t="inlineStr">
        <is>
          <t>sprint-17</t>
        </is>
      </c>
      <c r="I504" t="inlineStr">
        <is>
          <t>merged</t>
        </is>
      </c>
      <c r="J504" t="inlineStr"/>
      <c r="K504" t="inlineStr"/>
      <c r="L504" t="inlineStr"/>
      <c r="M504" t="inlineStr"/>
      <c r="N504" t="inlineStr"/>
      <c r="O504" t="inlineStr"/>
      <c r="P504" t="inlineStr"/>
      <c r="Q504" t="inlineStr"/>
    </row>
    <row r="505">
      <c r="A505" t="inlineStr">
        <is>
          <t>aditya.c</t>
        </is>
      </c>
      <c r="B505" t="inlineStr">
        <is>
          <t>Aditya Chakraborty</t>
        </is>
      </c>
      <c r="C505" t="inlineStr">
        <is>
          <t>aditya.c@osmosys.co</t>
        </is>
      </c>
      <c r="D505" t="inlineStr">
        <is>
          <t>incident-reporter</t>
        </is>
      </c>
      <c r="E505">
        <f>HYPERLINK("http://gitlab.osmosys.co/incident-reporter/incident-reporter-angular-portal", "OQSHA Portal")</f>
        <v/>
      </c>
      <c r="F505">
        <f>HYPERLINK("http://gitlab.osmosys.co/incident-reporter/incident-reporter-angular-portal/-/merge_requests/3494", "fix: resolve ppe page break")</f>
        <v/>
      </c>
      <c r="G505" t="inlineStr">
        <is>
          <t>fix/ppe-module</t>
        </is>
      </c>
      <c r="H505" t="inlineStr">
        <is>
          <t>sprint-17</t>
        </is>
      </c>
      <c r="I505" t="inlineStr">
        <is>
          <t>merged</t>
        </is>
      </c>
      <c r="J505" t="inlineStr"/>
      <c r="K505" t="inlineStr"/>
      <c r="L505" t="inlineStr"/>
      <c r="M505" t="inlineStr"/>
      <c r="N505" t="inlineStr"/>
      <c r="O505" t="inlineStr"/>
      <c r="P505" t="inlineStr"/>
      <c r="Q505" t="inlineStr"/>
    </row>
    <row r="506">
      <c r="A506" t="inlineStr">
        <is>
          <t>aditya.c</t>
        </is>
      </c>
      <c r="B506" t="inlineStr">
        <is>
          <t>Aditya Chakraborty</t>
        </is>
      </c>
      <c r="C506" t="inlineStr">
        <is>
          <t>aditya.c@osmosys.co</t>
        </is>
      </c>
      <c r="D506" t="inlineStr">
        <is>
          <t>incident-reporter</t>
        </is>
      </c>
      <c r="E506">
        <f>HYPERLINK("http://gitlab.osmosys.co/incident-reporter/incident-reporter-angular-portal", "OQSHA Portal")</f>
        <v/>
      </c>
      <c r="F506">
        <f>HYPERLINK("http://gitlab.osmosys.co/incident-reporter/incident-reporter-angular-portal/-/merge_requests/3492", "fix: update calendar dept id payload")</f>
        <v/>
      </c>
      <c r="G506" t="inlineStr">
        <is>
          <t>fix/inspections-calendar-payload</t>
        </is>
      </c>
      <c r="H506" t="inlineStr">
        <is>
          <t>sprint-17</t>
        </is>
      </c>
      <c r="I506" t="inlineStr">
        <is>
          <t>merged</t>
        </is>
      </c>
      <c r="J506" t="inlineStr"/>
      <c r="K506" t="inlineStr"/>
      <c r="L506" t="inlineStr"/>
      <c r="M506" t="inlineStr"/>
      <c r="N506" t="inlineStr"/>
      <c r="O506" t="inlineStr"/>
      <c r="P506" t="inlineStr"/>
      <c r="Q506" t="inlineStr"/>
    </row>
    <row r="507">
      <c r="A507" t="inlineStr">
        <is>
          <t>aditya.c</t>
        </is>
      </c>
      <c r="B507" t="inlineStr">
        <is>
          <t>Aditya Chakraborty</t>
        </is>
      </c>
      <c r="C507" t="inlineStr">
        <is>
          <t>aditya.c@osmosys.co</t>
        </is>
      </c>
      <c r="D507" t="inlineStr">
        <is>
          <t>incident-reporter</t>
        </is>
      </c>
      <c r="E507">
        <f>HYPERLINK("http://gitlab.osmosys.co/incident-reporter/incident-reporter-angular-portal", "OQSHA Portal")</f>
        <v/>
      </c>
      <c r="F507">
        <f>HYPERLINK("http://gitlab.osmosys.co/incident-reporter/incident-reporter-angular-portal/-/merge_requests/3490", "fix: handle blocking functionality for add-edit setup pages")</f>
        <v/>
      </c>
      <c r="G507" t="inlineStr">
        <is>
          <t>fix/setup-page-edge-case</t>
        </is>
      </c>
      <c r="H507" t="inlineStr">
        <is>
          <t>sprint-17</t>
        </is>
      </c>
      <c r="I507" t="inlineStr">
        <is>
          <t>merged</t>
        </is>
      </c>
      <c r="J507" t="inlineStr"/>
      <c r="K507" t="inlineStr"/>
      <c r="L507" t="inlineStr"/>
      <c r="M507" t="inlineStr"/>
      <c r="N507" t="inlineStr"/>
      <c r="O507" t="inlineStr"/>
      <c r="P507" t="inlineStr"/>
      <c r="Q507" t="inlineStr"/>
    </row>
    <row r="508">
      <c r="A508" t="inlineStr">
        <is>
          <t>aditya.c</t>
        </is>
      </c>
      <c r="B508" t="inlineStr">
        <is>
          <t>Aditya Chakraborty</t>
        </is>
      </c>
      <c r="C508" t="inlineStr">
        <is>
          <t>aditya.c@osmosys.co</t>
        </is>
      </c>
      <c r="D508" t="inlineStr">
        <is>
          <t>incident-reporter</t>
        </is>
      </c>
      <c r="E508">
        <f>HYPERLINK("http://gitlab.osmosys.co/incident-reporter/incident-reporter-angular-portal", "OQSHA Portal")</f>
        <v/>
      </c>
      <c r="F508">
        <f>HYPERLINK("http://gitlab.osmosys.co/incident-reporter/incident-reporter-angular-portal/-/merge_requests/3487", "fix: update buttons on calendars for inspections and tasks")</f>
        <v/>
      </c>
      <c r="G508" t="inlineStr">
        <is>
          <t>fix/calendar-edge-cases</t>
        </is>
      </c>
      <c r="H508" t="inlineStr">
        <is>
          <t>sprint-17</t>
        </is>
      </c>
      <c r="I508" t="inlineStr">
        <is>
          <t>merged</t>
        </is>
      </c>
      <c r="J508" t="inlineStr"/>
      <c r="K508" t="inlineStr"/>
      <c r="L508" t="inlineStr"/>
      <c r="M508" t="inlineStr"/>
      <c r="N508" t="inlineStr"/>
      <c r="O508" t="inlineStr"/>
      <c r="P508" t="inlineStr"/>
      <c r="Q508" t="inlineStr"/>
    </row>
    <row r="509">
      <c r="A509" t="inlineStr">
        <is>
          <t>aditya.c</t>
        </is>
      </c>
      <c r="B509" t="inlineStr">
        <is>
          <t>Aditya Chakraborty</t>
        </is>
      </c>
      <c r="C509" t="inlineStr">
        <is>
          <t>aditya.c@osmosys.co</t>
        </is>
      </c>
      <c r="D509" t="inlineStr">
        <is>
          <t>incident-reporter</t>
        </is>
      </c>
      <c r="E509">
        <f>HYPERLINK("http://gitlab.osmosys.co/incident-reporter/incident-reporter-angular-portal", "OQSHA Portal")</f>
        <v/>
      </c>
      <c r="F509">
        <f>HYPERLINK("http://gitlab.osmosys.co/incident-reporter/incident-reporter-angular-portal/-/merge_requests/3485", "fix: remove duplicate calls on tickets page on double reload")</f>
        <v/>
      </c>
      <c r="G509" t="inlineStr">
        <is>
          <t>fix/tickets-api-duplicate</t>
        </is>
      </c>
      <c r="H509" t="inlineStr">
        <is>
          <t>sprint-17</t>
        </is>
      </c>
      <c r="I509" t="inlineStr">
        <is>
          <t>merged</t>
        </is>
      </c>
      <c r="J509" t="inlineStr"/>
      <c r="K509" t="inlineStr"/>
      <c r="L509" t="inlineStr"/>
      <c r="M509" t="inlineStr"/>
      <c r="N509" t="inlineStr"/>
      <c r="O509" t="inlineStr"/>
      <c r="P509" t="inlineStr"/>
      <c r="Q509" t="inlineStr"/>
    </row>
    <row r="510">
      <c r="A510" t="inlineStr">
        <is>
          <t>aditya.c</t>
        </is>
      </c>
      <c r="B510" t="inlineStr">
        <is>
          <t>Aditya Chakraborty</t>
        </is>
      </c>
      <c r="C510" t="inlineStr">
        <is>
          <t>aditya.c@osmosys.co</t>
        </is>
      </c>
      <c r="D510" t="inlineStr">
        <is>
          <t>incident-reporter</t>
        </is>
      </c>
      <c r="E510">
        <f>HYPERLINK("http://gitlab.osmosys.co/incident-reporter/incident-reporter-angular-portal", "OQSHA Portal")</f>
        <v/>
      </c>
      <c r="F510">
        <f>HYPERLINK("http://gitlab.osmosys.co/incident-reporter/incident-reporter-angular-portal/-/merge_requests/3480", "fix: resolve issue of page break on tickets")</f>
        <v/>
      </c>
      <c r="G510" t="inlineStr">
        <is>
          <t>fix/tickets-table-breaking</t>
        </is>
      </c>
      <c r="H510" t="inlineStr">
        <is>
          <t>sprint-17</t>
        </is>
      </c>
      <c r="I510" t="inlineStr">
        <is>
          <t>merged</t>
        </is>
      </c>
      <c r="J510" t="inlineStr"/>
      <c r="K510" t="inlineStr"/>
      <c r="L510" t="inlineStr"/>
      <c r="M510" t="inlineStr"/>
      <c r="N510" t="inlineStr"/>
      <c r="O510" t="inlineStr"/>
      <c r="P510" t="inlineStr"/>
      <c r="Q510" t="inlineStr"/>
    </row>
    <row r="511">
      <c r="A511" t="inlineStr">
        <is>
          <t>aditya.c</t>
        </is>
      </c>
      <c r="B511" t="inlineStr">
        <is>
          <t>Aditya Chakraborty</t>
        </is>
      </c>
      <c r="C511" t="inlineStr">
        <is>
          <t>aditya.c@osmosys.co</t>
        </is>
      </c>
      <c r="D511" t="inlineStr">
        <is>
          <t>incident-reporter</t>
        </is>
      </c>
      <c r="E511">
        <f>HYPERLINK("http://gitlab.osmosys.co/incident-reporter/incident-reporter-angular-portal", "OQSHA Portal")</f>
        <v/>
      </c>
      <c r="F511">
        <f>HYPERLINK("http://gitlab.osmosys.co/incident-reporter/incident-reporter-angular-portal/-/merge_requests/3479", "fix: duplicate api calls on contractor page")</f>
        <v/>
      </c>
      <c r="G511" t="inlineStr">
        <is>
          <t>fix/multiple-api-call</t>
        </is>
      </c>
      <c r="H511" t="inlineStr">
        <is>
          <t>sprint-17</t>
        </is>
      </c>
      <c r="I511" t="inlineStr">
        <is>
          <t>merged</t>
        </is>
      </c>
      <c r="J511" t="inlineStr"/>
      <c r="K511" t="inlineStr"/>
      <c r="L511" t="inlineStr"/>
      <c r="M511" t="inlineStr"/>
      <c r="N511" t="inlineStr"/>
      <c r="O511" t="inlineStr"/>
      <c r="P511" t="inlineStr"/>
      <c r="Q511" t="inlineStr"/>
    </row>
    <row r="512">
      <c r="A512" t="inlineStr">
        <is>
          <t>aditya.c</t>
        </is>
      </c>
      <c r="B512" t="inlineStr">
        <is>
          <t>Aditya Chakraborty</t>
        </is>
      </c>
      <c r="C512" t="inlineStr">
        <is>
          <t>aditya.c@osmosys.co</t>
        </is>
      </c>
      <c r="D512" t="inlineStr">
        <is>
          <t>incident-reporter</t>
        </is>
      </c>
      <c r="E512">
        <f>HYPERLINK("http://gitlab.osmosys.co/incident-reporter/incident-reporter-angular-portal", "OQSHA Portal")</f>
        <v/>
      </c>
      <c r="F512">
        <f>HYPERLINK("http://gitlab.osmosys.co/incident-reporter/incident-reporter-angular-portal/-/merge_requests/3477", "fix: configure auth guard to block manual navigation of setup pages")</f>
        <v/>
      </c>
      <c r="G512" t="inlineStr">
        <is>
          <t>fix/setup-page-block</t>
        </is>
      </c>
      <c r="H512" t="inlineStr">
        <is>
          <t>sprint-17</t>
        </is>
      </c>
      <c r="I512" t="inlineStr">
        <is>
          <t>merged</t>
        </is>
      </c>
      <c r="J512" t="inlineStr">
        <is>
          <t>2120693110e31979e11088dbcd2ad5587f6b5d06</t>
        </is>
      </c>
      <c r="K512">
        <f>HYPERLINK("http://gitlab.osmosys.co/incident-reporter/incident-reporter-angular-portal/-/merge_requests/3477#note_238003", "Get the key from constant file")</f>
        <v/>
      </c>
      <c r="L512" t="inlineStr">
        <is>
          <t>2025-07-17 00:58:43.352 IST</t>
        </is>
      </c>
      <c r="M512" t="inlineStr">
        <is>
          <t>Soundariya B</t>
        </is>
      </c>
      <c r="N512" t="inlineStr">
        <is>
          <t>Yes</t>
        </is>
      </c>
      <c r="O512" t="inlineStr">
        <is>
          <t>Yes</t>
        </is>
      </c>
      <c r="P512" t="inlineStr">
        <is>
          <t>Soundariya B</t>
        </is>
      </c>
      <c r="Q512" t="inlineStr">
        <is>
          <t>Bad</t>
        </is>
      </c>
    </row>
    <row r="513">
      <c r="A513" t="inlineStr">
        <is>
          <t>aditya.c</t>
        </is>
      </c>
      <c r="B513" t="inlineStr">
        <is>
          <t>Aditya Chakraborty</t>
        </is>
      </c>
      <c r="C513" t="inlineStr">
        <is>
          <t>aditya.c@osmosys.co</t>
        </is>
      </c>
      <c r="D513" t="inlineStr">
        <is>
          <t>incident-reporter</t>
        </is>
      </c>
      <c r="E513">
        <f>HYPERLINK("http://gitlab.osmosys.co/incident-reporter/incident-reporter-angular-portal", "OQSHA Portal")</f>
        <v/>
      </c>
      <c r="F513">
        <f>HYPERLINK("http://gitlab.osmosys.co/incident-reporter/incident-reporter-angular-portal/-/merge_requests/3477", "fix: configure auth guard to block manual navigation of setup pages")</f>
        <v/>
      </c>
      <c r="G513" t="inlineStr">
        <is>
          <t>fix/setup-page-block</t>
        </is>
      </c>
      <c r="H513" t="inlineStr">
        <is>
          <t>sprint-17</t>
        </is>
      </c>
      <c r="I513" t="inlineStr">
        <is>
          <t>merged</t>
        </is>
      </c>
      <c r="J513" t="inlineStr">
        <is>
          <t>53f770ffce644ddca7b7057f1d56c96621ac1c26</t>
        </is>
      </c>
      <c r="K513">
        <f>HYPERLINK("http://gitlab.osmosys.co/incident-reporter/incident-reporter-angular-portal/-/merge_requests/3477#note_238004", "Rename it - isShowSetupPageByManualRoute")</f>
        <v/>
      </c>
      <c r="L513" t="inlineStr">
        <is>
          <t>2025-07-17 00:58:43.415 IST</t>
        </is>
      </c>
      <c r="M513" t="inlineStr">
        <is>
          <t>Soundariya B</t>
        </is>
      </c>
      <c r="N513" t="inlineStr">
        <is>
          <t>Yes</t>
        </is>
      </c>
      <c r="O513" t="inlineStr">
        <is>
          <t>Yes</t>
        </is>
      </c>
      <c r="P513" t="inlineStr">
        <is>
          <t>Soundariya B</t>
        </is>
      </c>
      <c r="Q513" t="inlineStr">
        <is>
          <t>Bad</t>
        </is>
      </c>
    </row>
    <row r="514">
      <c r="A514" t="inlineStr">
        <is>
          <t>aditya.c</t>
        </is>
      </c>
      <c r="B514" t="inlineStr">
        <is>
          <t>Aditya Chakraborty</t>
        </is>
      </c>
      <c r="C514" t="inlineStr">
        <is>
          <t>aditya.c@osmosys.co</t>
        </is>
      </c>
      <c r="D514" t="inlineStr">
        <is>
          <t>incident-reporter</t>
        </is>
      </c>
      <c r="E514">
        <f>HYPERLINK("http://gitlab.osmosys.co/incident-reporter/incident-reporter-angular-portal", "OQSHA Portal")</f>
        <v/>
      </c>
      <c r="F514">
        <f>HYPERLINK("http://gitlab.osmosys.co/incident-reporter/incident-reporter-angular-portal/-/merge_requests/3477", "fix: configure auth guard to block manual navigation of setup pages")</f>
        <v/>
      </c>
      <c r="G514" t="inlineStr">
        <is>
          <t>fix/setup-page-block</t>
        </is>
      </c>
      <c r="H514" t="inlineStr">
        <is>
          <t>sprint-17</t>
        </is>
      </c>
      <c r="I514" t="inlineStr">
        <is>
          <t>merged</t>
        </is>
      </c>
      <c r="J514" t="inlineStr">
        <is>
          <t>e4fefc9bbd8129c0bc9c0563f00863c241020094</t>
        </is>
      </c>
      <c r="K514">
        <f>HYPERLINK("http://gitlab.osmosys.co/incident-reporter/incident-reporter-angular-portal/-/merge_requests/3477#note_238005", "Get the key from constant file")</f>
        <v/>
      </c>
      <c r="L514" t="inlineStr">
        <is>
          <t>2025-07-17 00:58:43.469 IST</t>
        </is>
      </c>
      <c r="M514" t="inlineStr">
        <is>
          <t>Soundariya B</t>
        </is>
      </c>
      <c r="N514" t="inlineStr">
        <is>
          <t>Yes</t>
        </is>
      </c>
      <c r="O514" t="inlineStr">
        <is>
          <t>Yes</t>
        </is>
      </c>
      <c r="P514" t="inlineStr">
        <is>
          <t>Soundariya B</t>
        </is>
      </c>
      <c r="Q514" t="inlineStr">
        <is>
          <t>Bad</t>
        </is>
      </c>
    </row>
    <row r="515">
      <c r="A515" t="inlineStr">
        <is>
          <t>aditya.c</t>
        </is>
      </c>
      <c r="B515" t="inlineStr">
        <is>
          <t>Aditya Chakraborty</t>
        </is>
      </c>
      <c r="C515" t="inlineStr">
        <is>
          <t>aditya.c@osmosys.co</t>
        </is>
      </c>
      <c r="D515" t="inlineStr">
        <is>
          <t>incident-reporter</t>
        </is>
      </c>
      <c r="E515">
        <f>HYPERLINK("http://gitlab.osmosys.co/incident-reporter/incident-reporter-angular-portal", "OQSHA Portal")</f>
        <v/>
      </c>
      <c r="F515">
        <f>HYPERLINK("http://gitlab.osmosys.co/incident-reporter/incident-reporter-angular-portal/-/merge_requests/3477", "fix: configure auth guard to block manual navigation of setup pages")</f>
        <v/>
      </c>
      <c r="G515" t="inlineStr">
        <is>
          <t>fix/setup-page-block</t>
        </is>
      </c>
      <c r="H515" t="inlineStr">
        <is>
          <t>sprint-17</t>
        </is>
      </c>
      <c r="I515" t="inlineStr">
        <is>
          <t>merged</t>
        </is>
      </c>
      <c r="J515" t="inlineStr">
        <is>
          <t>e23a4fc82cc1174eb5a52d193424173ea2589bbc</t>
        </is>
      </c>
      <c r="K515">
        <f>HYPERLINK("http://gitlab.osmosys.co/incident-reporter/incident-reporter-angular-portal/-/merge_requests/3477#note_238006", "Rename it - shouldHideModule")</f>
        <v/>
      </c>
      <c r="L515" t="inlineStr">
        <is>
          <t>2025-07-17 00:58:43.521 IST</t>
        </is>
      </c>
      <c r="M515" t="inlineStr">
        <is>
          <t>Soundariya B</t>
        </is>
      </c>
      <c r="N515" t="inlineStr">
        <is>
          <t>Yes</t>
        </is>
      </c>
      <c r="O515" t="inlineStr">
        <is>
          <t>Yes</t>
        </is>
      </c>
      <c r="P515" t="inlineStr">
        <is>
          <t>Soundariya B</t>
        </is>
      </c>
      <c r="Q515" t="inlineStr">
        <is>
          <t>Bad</t>
        </is>
      </c>
    </row>
    <row r="516">
      <c r="A516" t="inlineStr">
        <is>
          <t>aditya.c</t>
        </is>
      </c>
      <c r="B516" t="inlineStr">
        <is>
          <t>Aditya Chakraborty</t>
        </is>
      </c>
      <c r="C516" t="inlineStr">
        <is>
          <t>aditya.c@osmosys.co</t>
        </is>
      </c>
      <c r="D516" t="inlineStr">
        <is>
          <t>incident-reporter</t>
        </is>
      </c>
      <c r="E516">
        <f>HYPERLINK("http://gitlab.osmosys.co/incident-reporter/incident-reporter-angular-portal", "OQSHA Portal")</f>
        <v/>
      </c>
      <c r="F516">
        <f>HYPERLINK("http://gitlab.osmosys.co/incident-reporter/incident-reporter-angular-portal/-/merge_requests/3477", "fix: configure auth guard to block manual navigation of setup pages")</f>
        <v/>
      </c>
      <c r="G516" t="inlineStr">
        <is>
          <t>fix/setup-page-block</t>
        </is>
      </c>
      <c r="H516" t="inlineStr">
        <is>
          <t>sprint-17</t>
        </is>
      </c>
      <c r="I516" t="inlineStr">
        <is>
          <t>merged</t>
        </is>
      </c>
      <c r="J516" t="inlineStr">
        <is>
          <t>56d19d17770639aa192bfbf56290b26d944c20ef</t>
        </is>
      </c>
      <c r="K516">
        <f>HYPERLINK("http://gitlab.osmosys.co/incident-reporter/incident-reporter-angular-portal/-/merge_requests/3477#note_238007", "Why we are using this method as static? Any reason?")</f>
        <v/>
      </c>
      <c r="L516" t="inlineStr">
        <is>
          <t>2025-07-17 00:58:43.602 IST</t>
        </is>
      </c>
      <c r="M516" t="inlineStr">
        <is>
          <t>Soundariya B</t>
        </is>
      </c>
      <c r="N516" t="inlineStr">
        <is>
          <t>Yes</t>
        </is>
      </c>
      <c r="O516" t="inlineStr">
        <is>
          <t>Yes</t>
        </is>
      </c>
      <c r="P516" t="inlineStr">
        <is>
          <t>Soundariya B</t>
        </is>
      </c>
      <c r="Q516" t="inlineStr">
        <is>
          <t>Neutral</t>
        </is>
      </c>
    </row>
    <row r="517">
      <c r="A517" t="inlineStr">
        <is>
          <t>aditya.c</t>
        </is>
      </c>
      <c r="B517" t="inlineStr">
        <is>
          <t>Aditya Chakraborty</t>
        </is>
      </c>
      <c r="C517" t="inlineStr">
        <is>
          <t>aditya.c@osmosys.co</t>
        </is>
      </c>
      <c r="D517" t="inlineStr">
        <is>
          <t>incident-reporter</t>
        </is>
      </c>
      <c r="E517">
        <f>HYPERLINK("http://gitlab.osmosys.co/incident-reporter/incident-reporter-angular-portal", "OQSHA Portal")</f>
        <v/>
      </c>
      <c r="F517">
        <f>HYPERLINK("http://gitlab.osmosys.co/incident-reporter/incident-reporter-angular-portal/-/merge_requests/3477", "fix: configure auth guard to block manual navigation of setup pages")</f>
        <v/>
      </c>
      <c r="G517" t="inlineStr">
        <is>
          <t>fix/setup-page-block</t>
        </is>
      </c>
      <c r="H517" t="inlineStr">
        <is>
          <t>sprint-17</t>
        </is>
      </c>
      <c r="I517" t="inlineStr">
        <is>
          <t>merged</t>
        </is>
      </c>
      <c r="J517" t="inlineStr">
        <is>
          <t>56d19d17770639aa192bfbf56290b26d944c20ef</t>
        </is>
      </c>
      <c r="K517">
        <f>HYPERLINK("http://gitlab.osmosys.co/incident-reporter/incident-reporter-angular-portal/-/merge_requests/3477#note_238013", "I need to use `this` in non-static classes (es-lint rule)")</f>
        <v/>
      </c>
      <c r="L517" t="inlineStr">
        <is>
          <t>2025-07-17 01:03:28.791 IST</t>
        </is>
      </c>
      <c r="M517" t="inlineStr">
        <is>
          <t>Aditya Chakraborty</t>
        </is>
      </c>
      <c r="N517" t="inlineStr">
        <is>
          <t>No</t>
        </is>
      </c>
      <c r="O517" t="inlineStr">
        <is>
          <t>Yes</t>
        </is>
      </c>
      <c r="P517" t="inlineStr">
        <is>
          <t>Soundariya B</t>
        </is>
      </c>
      <c r="Q517" t="inlineStr">
        <is>
          <t>Neutral</t>
        </is>
      </c>
    </row>
    <row r="518">
      <c r="A518" t="inlineStr">
        <is>
          <t>aditya.c</t>
        </is>
      </c>
      <c r="B518" t="inlineStr">
        <is>
          <t>Aditya Chakraborty</t>
        </is>
      </c>
      <c r="C518" t="inlineStr">
        <is>
          <t>aditya.c@osmosys.co</t>
        </is>
      </c>
      <c r="D518" t="inlineStr">
        <is>
          <t>incident-reporter</t>
        </is>
      </c>
      <c r="E518">
        <f>HYPERLINK("http://gitlab.osmosys.co/incident-reporter/incident-reporter-angular-portal", "OQSHA Portal")</f>
        <v/>
      </c>
      <c r="F518">
        <f>HYPERLINK("http://gitlab.osmosys.co/incident-reporter/incident-reporter-angular-portal/-/merge_requests/3477", "fix: configure auth guard to block manual navigation of setup pages")</f>
        <v/>
      </c>
      <c r="G518" t="inlineStr">
        <is>
          <t>fix/setup-page-block</t>
        </is>
      </c>
      <c r="H518" t="inlineStr">
        <is>
          <t>sprint-17</t>
        </is>
      </c>
      <c r="I518" t="inlineStr">
        <is>
          <t>merged</t>
        </is>
      </c>
      <c r="J518" t="inlineStr">
        <is>
          <t>767bb3c232eba13e349268413894cd23ed51ca8f</t>
        </is>
      </c>
      <c r="K518">
        <f>HYPERLINK("http://gitlab.osmosys.co/incident-reporter/incident-reporter-angular-portal/-/merge_requests/3477#note_238008", "Instead, please move this logic to a single place using an Angular Route Guard, rather than an HTTP Interceptor. Interceptors are great for handling HTTP requests/responses, but for blocking or redirecting manual navigation, **Route Guards** are purpose-built.
Uses:
A `CanActivate` Route Guard. This guard allows or denies access to a route based on custom logic—perfect for preventing manual navigation. **Define Your Logic** In `navigation-blocker.guard.ts`. **Apply the Guard in Your Routes**
For logic to implement you can check the copilt and chatGpt.
This is the recommended and best way to block the manual and unwanted navigations.
Fix this and remove the added code from everywhere")</f>
        <v/>
      </c>
      <c r="L518" t="inlineStr">
        <is>
          <t>2025-07-17 00:58:43.677 IST</t>
        </is>
      </c>
      <c r="M518" t="inlineStr">
        <is>
          <t>Soundariya B</t>
        </is>
      </c>
      <c r="N518" t="inlineStr">
        <is>
          <t>Yes</t>
        </is>
      </c>
      <c r="O518" t="inlineStr">
        <is>
          <t>Yes</t>
        </is>
      </c>
      <c r="P518" t="inlineStr">
        <is>
          <t>Soundariya B</t>
        </is>
      </c>
      <c r="Q518" t="inlineStr">
        <is>
          <t>Neutral</t>
        </is>
      </c>
    </row>
    <row r="519">
      <c r="A519" t="inlineStr">
        <is>
          <t>aditya.c</t>
        </is>
      </c>
      <c r="B519" t="inlineStr">
        <is>
          <t>Aditya Chakraborty</t>
        </is>
      </c>
      <c r="C519" t="inlineStr">
        <is>
          <t>aditya.c@osmosys.co</t>
        </is>
      </c>
      <c r="D519" t="inlineStr">
        <is>
          <t>incident-reporter</t>
        </is>
      </c>
      <c r="E519">
        <f>HYPERLINK("http://gitlab.osmosys.co/incident-reporter/incident-reporter-angular-portal", "OQSHA Portal")</f>
        <v/>
      </c>
      <c r="F519">
        <f>HYPERLINK("http://gitlab.osmosys.co/incident-reporter/incident-reporter-angular-portal/-/merge_requests/3477", "fix: configure auth guard to block manual navigation of setup pages")</f>
        <v/>
      </c>
      <c r="G519" t="inlineStr">
        <is>
          <t>fix/setup-page-block</t>
        </is>
      </c>
      <c r="H519" t="inlineStr">
        <is>
          <t>sprint-17</t>
        </is>
      </c>
      <c r="I519" t="inlineStr">
        <is>
          <t>merged</t>
        </is>
      </c>
      <c r="J519" t="inlineStr">
        <is>
          <t>767bb3c232eba13e349268413894cd23ed51ca8f</t>
        </is>
      </c>
      <c r="K519">
        <f>HYPERLINK("http://gitlab.osmosys.co/incident-reporter/incident-reporter-angular-portal/-/merge_requests/3477#note_238012", "CanActivate works only if user is getting redirected to it
It does not handle manually typing in the URL - I had tried via auth guard and you can see I reverted my changes
Used AI as well - it works for navigation not brute force attack")</f>
        <v/>
      </c>
      <c r="L519" t="inlineStr">
        <is>
          <t>2025-07-17 01:02:50.859 IST</t>
        </is>
      </c>
      <c r="M519" t="inlineStr">
        <is>
          <t>Aditya Chakraborty</t>
        </is>
      </c>
      <c r="N519" t="inlineStr">
        <is>
          <t>No</t>
        </is>
      </c>
      <c r="O519" t="inlineStr">
        <is>
          <t>Yes</t>
        </is>
      </c>
      <c r="P519" t="inlineStr">
        <is>
          <t>Soundariya B</t>
        </is>
      </c>
      <c r="Q519" t="inlineStr">
        <is>
          <t>Neutral</t>
        </is>
      </c>
    </row>
    <row r="520">
      <c r="A520" t="inlineStr">
        <is>
          <t>aditya.c</t>
        </is>
      </c>
      <c r="B520" t="inlineStr">
        <is>
          <t>Aditya Chakraborty</t>
        </is>
      </c>
      <c r="C520" t="inlineStr">
        <is>
          <t>aditya.c@osmosys.co</t>
        </is>
      </c>
      <c r="D520" t="inlineStr">
        <is>
          <t>incident-reporter</t>
        </is>
      </c>
      <c r="E520">
        <f>HYPERLINK("http://gitlab.osmosys.co/incident-reporter/incident-reporter-angular-portal", "OQSHA Portal")</f>
        <v/>
      </c>
      <c r="F520">
        <f>HYPERLINK("http://gitlab.osmosys.co/incident-reporter/incident-reporter-angular-portal/-/merge_requests/3477", "fix: configure auth guard to block manual navigation of setup pages")</f>
        <v/>
      </c>
      <c r="G520" t="inlineStr">
        <is>
          <t>fix/setup-page-block</t>
        </is>
      </c>
      <c r="H520" t="inlineStr">
        <is>
          <t>sprint-17</t>
        </is>
      </c>
      <c r="I520" t="inlineStr">
        <is>
          <t>merged</t>
        </is>
      </c>
      <c r="J520" t="inlineStr">
        <is>
          <t>767bb3c232eba13e349268413894cd23ed51ca8f</t>
        </is>
      </c>
      <c r="K520">
        <f>HYPERLINK("http://gitlab.osmosys.co/incident-reporter/incident-reporter-angular-portal/-/merge_requests/3477#note_238021", "**You're right, Aditya—`CanActivate` by itself won't block users typing in URLs directly. What I was thinking is that it can still work as a first layer of protection. But that's okay for now.**")</f>
        <v/>
      </c>
      <c r="L520" t="inlineStr">
        <is>
          <t>2025-07-17 01:20:16.152 IST</t>
        </is>
      </c>
      <c r="M520" t="inlineStr">
        <is>
          <t>Soundariya B</t>
        </is>
      </c>
      <c r="N520" t="inlineStr">
        <is>
          <t>Yes</t>
        </is>
      </c>
      <c r="O520" t="inlineStr">
        <is>
          <t>Yes</t>
        </is>
      </c>
      <c r="P520" t="inlineStr">
        <is>
          <t>Soundariya B</t>
        </is>
      </c>
      <c r="Q520" t="inlineStr">
        <is>
          <t>Neutral</t>
        </is>
      </c>
    </row>
    <row r="521">
      <c r="A521" t="inlineStr">
        <is>
          <t>aditya.c</t>
        </is>
      </c>
      <c r="B521" t="inlineStr">
        <is>
          <t>Aditya Chakraborty</t>
        </is>
      </c>
      <c r="C521" t="inlineStr">
        <is>
          <t>aditya.c@osmosys.co</t>
        </is>
      </c>
      <c r="D521" t="inlineStr">
        <is>
          <t>incident-reporter</t>
        </is>
      </c>
      <c r="E521">
        <f>HYPERLINK("http://gitlab.osmosys.co/incident-reporter/incident-reporter-angular-portal", "OQSHA Portal")</f>
        <v/>
      </c>
      <c r="F521">
        <f>HYPERLINK("http://gitlab.osmosys.co/incident-reporter/incident-reporter-angular-portal/-/merge_requests/3477", "fix: configure auth guard to block manual navigation of setup pages")</f>
        <v/>
      </c>
      <c r="G521" t="inlineStr">
        <is>
          <t>fix/setup-page-block</t>
        </is>
      </c>
      <c r="H521" t="inlineStr">
        <is>
          <t>sprint-17</t>
        </is>
      </c>
      <c r="I521" t="inlineStr">
        <is>
          <t>merged</t>
        </is>
      </c>
      <c r="J521" t="inlineStr">
        <is>
          <t>4a9177f783aff0d7bc5bce160181ce3ff3c92074</t>
        </is>
      </c>
      <c r="K521">
        <f>HYPERLINK("http://gitlab.osmosys.co/incident-reporter/incident-reporter-angular-portal/-/merge_requests/3477#note_238010", "Also get confirmation from that we need to apply this for other left modules or not like these below
![image.png](/uploads/6bf46ffd113e782b275bc5add6b67451/image.png)")</f>
        <v/>
      </c>
      <c r="L521" t="inlineStr">
        <is>
          <t>2025-07-17 01:00:40.854 IST</t>
        </is>
      </c>
      <c r="M521" t="inlineStr">
        <is>
          <t>Soundariya B</t>
        </is>
      </c>
      <c r="N521" t="inlineStr">
        <is>
          <t>Yes</t>
        </is>
      </c>
      <c r="O521" t="inlineStr">
        <is>
          <t>Yes</t>
        </is>
      </c>
      <c r="P521" t="inlineStr">
        <is>
          <t>Soundariya B</t>
        </is>
      </c>
      <c r="Q521" t="inlineStr">
        <is>
          <t>Neutral</t>
        </is>
      </c>
    </row>
    <row r="522">
      <c r="A522" t="inlineStr">
        <is>
          <t>aditya.c</t>
        </is>
      </c>
      <c r="B522" t="inlineStr">
        <is>
          <t>Aditya Chakraborty</t>
        </is>
      </c>
      <c r="C522" t="inlineStr">
        <is>
          <t>aditya.c@osmosys.co</t>
        </is>
      </c>
      <c r="D522" t="inlineStr">
        <is>
          <t>incident-reporter</t>
        </is>
      </c>
      <c r="E522">
        <f>HYPERLINK("http://gitlab.osmosys.co/incident-reporter/incident-reporter-angular-portal", "OQSHA Portal")</f>
        <v/>
      </c>
      <c r="F522">
        <f>HYPERLINK("http://gitlab.osmosys.co/incident-reporter/incident-reporter-angular-portal/-/merge_requests/3477", "fix: configure auth guard to block manual navigation of setup pages")</f>
        <v/>
      </c>
      <c r="G522" t="inlineStr">
        <is>
          <t>fix/setup-page-block</t>
        </is>
      </c>
      <c r="H522" t="inlineStr">
        <is>
          <t>sprint-17</t>
        </is>
      </c>
      <c r="I522" t="inlineStr">
        <is>
          <t>merged</t>
        </is>
      </c>
      <c r="J522" t="inlineStr">
        <is>
          <t>4a9177f783aff0d7bc5bce160181ce3ff3c92074</t>
        </is>
      </c>
      <c r="K522">
        <f>HYPERLINK("http://gitlab.osmosys.co/incident-reporter/incident-reporter-angular-portal/-/merge_requests/3477#note_238014", "This is based on org preferences - whichever setup module is disabled, won't be shown. QA can test this")</f>
        <v/>
      </c>
      <c r="L522" t="inlineStr">
        <is>
          <t>2025-07-17 01:05:32.267 IST</t>
        </is>
      </c>
      <c r="M522" t="inlineStr">
        <is>
          <t>Aditya Chakraborty</t>
        </is>
      </c>
      <c r="N522" t="inlineStr">
        <is>
          <t>No</t>
        </is>
      </c>
      <c r="O522" t="inlineStr">
        <is>
          <t>Yes</t>
        </is>
      </c>
      <c r="P522" t="inlineStr">
        <is>
          <t>Soundariya B</t>
        </is>
      </c>
      <c r="Q522" t="inlineStr">
        <is>
          <t>Neutral</t>
        </is>
      </c>
    </row>
    <row r="523">
      <c r="A523" t="inlineStr">
        <is>
          <t>aditya.c</t>
        </is>
      </c>
      <c r="B523" t="inlineStr">
        <is>
          <t>Aditya Chakraborty</t>
        </is>
      </c>
      <c r="C523" t="inlineStr">
        <is>
          <t>aditya.c@osmosys.co</t>
        </is>
      </c>
      <c r="D523" t="inlineStr">
        <is>
          <t>incident-reporter</t>
        </is>
      </c>
      <c r="E523">
        <f>HYPERLINK("http://gitlab.osmosys.co/incident-reporter/incident-reporter-angular-portal", "OQSHA Portal")</f>
        <v/>
      </c>
      <c r="F523">
        <f>HYPERLINK("http://gitlab.osmosys.co/incident-reporter/incident-reporter-angular-portal/-/merge_requests/3475", "fix: add department to inspections calendar list")</f>
        <v/>
      </c>
      <c r="G523" t="inlineStr">
        <is>
          <t>fix/inspections-calendar-filter</t>
        </is>
      </c>
      <c r="H523" t="inlineStr">
        <is>
          <t>sprint-17</t>
        </is>
      </c>
      <c r="I523" t="inlineStr">
        <is>
          <t>merged</t>
        </is>
      </c>
      <c r="J523" t="inlineStr"/>
      <c r="K523" t="inlineStr"/>
      <c r="L523" t="inlineStr"/>
      <c r="M523" t="inlineStr"/>
      <c r="N523" t="inlineStr"/>
      <c r="O523" t="inlineStr"/>
      <c r="P523" t="inlineStr"/>
      <c r="Q523" t="inlineStr"/>
    </row>
    <row r="524">
      <c r="A524" t="inlineStr">
        <is>
          <t>aditya.c</t>
        </is>
      </c>
      <c r="B524" t="inlineStr">
        <is>
          <t>Aditya Chakraborty</t>
        </is>
      </c>
      <c r="C524" t="inlineStr">
        <is>
          <t>aditya.c@osmosys.co</t>
        </is>
      </c>
      <c r="D524" t="inlineStr">
        <is>
          <t>incident-reporter</t>
        </is>
      </c>
      <c r="E524">
        <f>HYPERLINK("http://gitlab.osmosys.co/incident-reporter/incident-reporter-angular-portal", "OQSHA Portal")</f>
        <v/>
      </c>
      <c r="F524">
        <f>HYPERLINK("http://gitlab.osmosys.co/incident-reporter/incident-reporter-angular-portal/-/merge_requests/3472", "fix: reorder departments module in role page")</f>
        <v/>
      </c>
      <c r="G524" t="inlineStr">
        <is>
          <t>fix/reorder-dept</t>
        </is>
      </c>
      <c r="H524" t="inlineStr">
        <is>
          <t>sprint-17</t>
        </is>
      </c>
      <c r="I524" t="inlineStr">
        <is>
          <t>merged</t>
        </is>
      </c>
      <c r="J524" t="inlineStr"/>
      <c r="K524" t="inlineStr"/>
      <c r="L524" t="inlineStr"/>
      <c r="M524" t="inlineStr"/>
      <c r="N524" t="inlineStr"/>
      <c r="O524" t="inlineStr"/>
      <c r="P524" t="inlineStr"/>
      <c r="Q524" t="inlineStr"/>
    </row>
    <row r="525">
      <c r="A525" t="inlineStr">
        <is>
          <t>aditya.c</t>
        </is>
      </c>
      <c r="B525" t="inlineStr">
        <is>
          <t>Aditya Chakraborty</t>
        </is>
      </c>
      <c r="C525" t="inlineStr">
        <is>
          <t>aditya.c@osmosys.co</t>
        </is>
      </c>
      <c r="D525" t="inlineStr">
        <is>
          <t>incident-reporter</t>
        </is>
      </c>
      <c r="E525">
        <f>HYPERLINK("http://gitlab.osmosys.co/incident-reporter/incident-reporter-angular-portal", "OQSHA Portal")</f>
        <v/>
      </c>
      <c r="F525">
        <f>HYPERLINK("http://gitlab.osmosys.co/incident-reporter/incident-reporter-angular-portal/-/merge_requests/3470", "fix: add filters logic into calendar")</f>
        <v/>
      </c>
      <c r="G525" t="inlineStr">
        <is>
          <t>fix/calendar-modules</t>
        </is>
      </c>
      <c r="H525" t="inlineStr">
        <is>
          <t>sprint-17</t>
        </is>
      </c>
      <c r="I525" t="inlineStr">
        <is>
          <t>merged</t>
        </is>
      </c>
      <c r="J525" t="inlineStr"/>
      <c r="K525" t="inlineStr"/>
      <c r="L525" t="inlineStr"/>
      <c r="M525" t="inlineStr"/>
      <c r="N525" t="inlineStr"/>
      <c r="O525" t="inlineStr"/>
      <c r="P525" t="inlineStr"/>
      <c r="Q525" t="inlineStr"/>
    </row>
    <row r="526">
      <c r="A526" t="inlineStr">
        <is>
          <t>aditya.c</t>
        </is>
      </c>
      <c r="B526" t="inlineStr">
        <is>
          <t>Aditya Chakraborty</t>
        </is>
      </c>
      <c r="C526" t="inlineStr">
        <is>
          <t>aditya.c@osmosys.co</t>
        </is>
      </c>
      <c r="D526" t="inlineStr">
        <is>
          <t>incident-reporter</t>
        </is>
      </c>
      <c r="E526">
        <f>HYPERLINK("http://gitlab.osmosys.co/incident-reporter/incident-reporter-angular-portal", "OQSHA Portal")</f>
        <v/>
      </c>
      <c r="F526">
        <f>HYPERLINK("http://gitlab.osmosys.co/incident-reporter/incident-reporter-angular-portal/-/merge_requests/3461", "fix: configure auth guard to disallow navigation to hidden setup pages")</f>
        <v/>
      </c>
      <c r="G526" t="inlineStr">
        <is>
          <t>fix/block-setup-navigation</t>
        </is>
      </c>
      <c r="H526" t="inlineStr">
        <is>
          <t>sprint-17</t>
        </is>
      </c>
      <c r="I526" t="inlineStr">
        <is>
          <t>merged</t>
        </is>
      </c>
      <c r="J526" t="inlineStr">
        <is>
          <t>6228f42ef46ac827ce787da37face16ccdb7dcaa</t>
        </is>
      </c>
      <c r="K526">
        <f>HYPERLINK("http://gitlab.osmosys.co/incident-reporter/incident-reporter-angular-portal/-/merge_requests/3461#note_237320", "Give meaningful variable names")</f>
        <v/>
      </c>
      <c r="L526" t="inlineStr">
        <is>
          <t>2025-07-16 11:08:37.685 IST</t>
        </is>
      </c>
      <c r="M526" t="inlineStr">
        <is>
          <t>Soundariya B</t>
        </is>
      </c>
      <c r="N526" t="inlineStr">
        <is>
          <t>Yes</t>
        </is>
      </c>
      <c r="O526" t="inlineStr">
        <is>
          <t>Yes</t>
        </is>
      </c>
      <c r="P526" t="inlineStr">
        <is>
          <t>Soundariya B</t>
        </is>
      </c>
      <c r="Q526" t="inlineStr">
        <is>
          <t>Bad</t>
        </is>
      </c>
    </row>
    <row r="527">
      <c r="A527" t="inlineStr">
        <is>
          <t>aditya.c</t>
        </is>
      </c>
      <c r="B527" t="inlineStr">
        <is>
          <t>Aditya Chakraborty</t>
        </is>
      </c>
      <c r="C527" t="inlineStr">
        <is>
          <t>aditya.c@osmosys.co</t>
        </is>
      </c>
      <c r="D527" t="inlineStr">
        <is>
          <t>incident-reporter</t>
        </is>
      </c>
      <c r="E527">
        <f>HYPERLINK("http://gitlab.osmosys.co/incident-reporter/incident-reporter-angular-portal", "OQSHA Portal")</f>
        <v/>
      </c>
      <c r="F527">
        <f>HYPERLINK("http://gitlab.osmosys.co/incident-reporter/incident-reporter-angular-portal/-/merge_requests/3461", "fix: configure auth guard to disallow navigation to hidden setup pages")</f>
        <v/>
      </c>
      <c r="G527" t="inlineStr">
        <is>
          <t>fix/block-setup-navigation</t>
        </is>
      </c>
      <c r="H527" t="inlineStr">
        <is>
          <t>sprint-17</t>
        </is>
      </c>
      <c r="I527" t="inlineStr">
        <is>
          <t>merged</t>
        </is>
      </c>
      <c r="J527" t="inlineStr">
        <is>
          <t>c5ac990ddc988a244d28270248ad8a4717adcd64</t>
        </is>
      </c>
      <c r="K527">
        <f>HYPERLINK("http://gitlab.osmosys.co/incident-reporter/incident-reporter-angular-portal/-/merge_requests/3461#note_237321", "Instead of this you can use this directly as you are in same service file - **!isPTWDashboardAccessible**()")</f>
        <v/>
      </c>
      <c r="L527" t="inlineStr">
        <is>
          <t>2025-07-16 11:08:37.748 IST</t>
        </is>
      </c>
      <c r="M527" t="inlineStr">
        <is>
          <t>Soundariya B</t>
        </is>
      </c>
      <c r="N527" t="inlineStr">
        <is>
          <t>Yes</t>
        </is>
      </c>
      <c r="O527" t="inlineStr">
        <is>
          <t>Yes</t>
        </is>
      </c>
      <c r="P527" t="inlineStr">
        <is>
          <t>Soundariya B</t>
        </is>
      </c>
      <c r="Q527" t="inlineStr">
        <is>
          <t>Neutral</t>
        </is>
      </c>
    </row>
    <row r="528">
      <c r="A528" t="inlineStr">
        <is>
          <t>aditya.c</t>
        </is>
      </c>
      <c r="B528" t="inlineStr">
        <is>
          <t>Aditya Chakraborty</t>
        </is>
      </c>
      <c r="C528" t="inlineStr">
        <is>
          <t>aditya.c@osmosys.co</t>
        </is>
      </c>
      <c r="D528" t="inlineStr">
        <is>
          <t>incident-reporter</t>
        </is>
      </c>
      <c r="E528">
        <f>HYPERLINK("http://gitlab.osmosys.co/incident-reporter/incident-reporter-angular-portal", "OQSHA Portal")</f>
        <v/>
      </c>
      <c r="F528">
        <f>HYPERLINK("http://gitlab.osmosys.co/incident-reporter/incident-reporter-angular-portal/-/merge_requests/3461", "fix: configure auth guard to disallow navigation to hidden setup pages")</f>
        <v/>
      </c>
      <c r="G528" t="inlineStr">
        <is>
          <t>fix/block-setup-navigation</t>
        </is>
      </c>
      <c r="H528" t="inlineStr">
        <is>
          <t>sprint-17</t>
        </is>
      </c>
      <c r="I528" t="inlineStr">
        <is>
          <t>merged</t>
        </is>
      </c>
      <c r="J528" t="inlineStr">
        <is>
          <t>c5ac990ddc988a244d28270248ad8a4717adcd64</t>
        </is>
      </c>
      <c r="K528">
        <f>HYPERLINK("http://gitlab.osmosys.co/incident-reporter/incident-reporter-angular-portal/-/merge_requests/3461#note_237679", "Its a static member, you are supposed to access static members directly via the class name")</f>
        <v/>
      </c>
      <c r="L528" t="inlineStr">
        <is>
          <t>2025-07-16 16:37:22.199 IST</t>
        </is>
      </c>
      <c r="M528" t="inlineStr">
        <is>
          <t>Aditya Chakraborty</t>
        </is>
      </c>
      <c r="N528" t="inlineStr">
        <is>
          <t>No</t>
        </is>
      </c>
      <c r="O528" t="inlineStr">
        <is>
          <t>Yes</t>
        </is>
      </c>
      <c r="P528" t="inlineStr">
        <is>
          <t>Soundariya B</t>
        </is>
      </c>
      <c r="Q528" t="inlineStr">
        <is>
          <t>Neutral</t>
        </is>
      </c>
    </row>
    <row r="529">
      <c r="A529" t="inlineStr">
        <is>
          <t>aditya.c</t>
        </is>
      </c>
      <c r="B529" t="inlineStr">
        <is>
          <t>Aditya Chakraborty</t>
        </is>
      </c>
      <c r="C529" t="inlineStr">
        <is>
          <t>aditya.c@osmosys.co</t>
        </is>
      </c>
      <c r="D529" t="inlineStr">
        <is>
          <t>incident-reporter</t>
        </is>
      </c>
      <c r="E529">
        <f>HYPERLINK("http://gitlab.osmosys.co/incident-reporter/incident-reporter-angular-portal", "OQSHA Portal")</f>
        <v/>
      </c>
      <c r="F529">
        <f>HYPERLINK("http://gitlab.osmosys.co/incident-reporter/incident-reporter-angular-portal/-/merge_requests/3461", "fix: configure auth guard to disallow navigation to hidden setup pages")</f>
        <v/>
      </c>
      <c r="G529" t="inlineStr">
        <is>
          <t>fix/block-setup-navigation</t>
        </is>
      </c>
      <c r="H529" t="inlineStr">
        <is>
          <t>sprint-17</t>
        </is>
      </c>
      <c r="I529" t="inlineStr">
        <is>
          <t>merged</t>
        </is>
      </c>
      <c r="J529" t="inlineStr">
        <is>
          <t>beb29a203acf5a2aada1db34ac09770a17b324a6</t>
        </is>
      </c>
      <c r="K529">
        <f>HYPERLINK("http://gitlab.osmosys.co/incident-reporter/incident-reporter-angular-portal/-/merge_requests/3461#note_237322", "Instead of this you can use this directly as you are in same service file - **getHiddenSetupPages**()")</f>
        <v/>
      </c>
      <c r="L529" t="inlineStr">
        <is>
          <t>2025-07-16 11:08:37.807 IST</t>
        </is>
      </c>
      <c r="M529" t="inlineStr">
        <is>
          <t>Soundariya B</t>
        </is>
      </c>
      <c r="N529" t="inlineStr">
        <is>
          <t>Yes</t>
        </is>
      </c>
      <c r="O529" t="inlineStr">
        <is>
          <t>Yes</t>
        </is>
      </c>
      <c r="P529" t="inlineStr">
        <is>
          <t>Soundariya B</t>
        </is>
      </c>
      <c r="Q529" t="inlineStr">
        <is>
          <t>Neutral</t>
        </is>
      </c>
    </row>
    <row r="530">
      <c r="A530" t="inlineStr">
        <is>
          <t>aditya.c</t>
        </is>
      </c>
      <c r="B530" t="inlineStr">
        <is>
          <t>Aditya Chakraborty</t>
        </is>
      </c>
      <c r="C530" t="inlineStr">
        <is>
          <t>aditya.c@osmosys.co</t>
        </is>
      </c>
      <c r="D530" t="inlineStr">
        <is>
          <t>incident-reporter</t>
        </is>
      </c>
      <c r="E530">
        <f>HYPERLINK("http://gitlab.osmosys.co/incident-reporter/incident-reporter-angular-portal", "OQSHA Portal")</f>
        <v/>
      </c>
      <c r="F530">
        <f>HYPERLINK("http://gitlab.osmosys.co/incident-reporter/incident-reporter-angular-portal/-/merge_requests/3461", "fix: configure auth guard to disallow navigation to hidden setup pages")</f>
        <v/>
      </c>
      <c r="G530" t="inlineStr">
        <is>
          <t>fix/block-setup-navigation</t>
        </is>
      </c>
      <c r="H530" t="inlineStr">
        <is>
          <t>sprint-17</t>
        </is>
      </c>
      <c r="I530" t="inlineStr">
        <is>
          <t>merged</t>
        </is>
      </c>
      <c r="J530" t="inlineStr">
        <is>
          <t>beb29a203acf5a2aada1db34ac09770a17b324a6</t>
        </is>
      </c>
      <c r="K530">
        <f>HYPERLINK("http://gitlab.osmosys.co/incident-reporter/incident-reporter-angular-portal/-/merge_requests/3461#note_237680", "Its a static member, you are supposed to access static members directly via the class name")</f>
        <v/>
      </c>
      <c r="L530" t="inlineStr">
        <is>
          <t>2025-07-16 16:37:29.358 IST</t>
        </is>
      </c>
      <c r="M530" t="inlineStr">
        <is>
          <t>Aditya Chakraborty</t>
        </is>
      </c>
      <c r="N530" t="inlineStr">
        <is>
          <t>No</t>
        </is>
      </c>
      <c r="O530" t="inlineStr">
        <is>
          <t>Yes</t>
        </is>
      </c>
      <c r="P530" t="inlineStr">
        <is>
          <t>Soundariya B</t>
        </is>
      </c>
      <c r="Q530" t="inlineStr">
        <is>
          <t>Neutral</t>
        </is>
      </c>
    </row>
    <row r="531">
      <c r="A531" t="inlineStr">
        <is>
          <t>aditya.c</t>
        </is>
      </c>
      <c r="B531" t="inlineStr">
        <is>
          <t>Aditya Chakraborty</t>
        </is>
      </c>
      <c r="C531" t="inlineStr">
        <is>
          <t>aditya.c@osmosys.co</t>
        </is>
      </c>
      <c r="D531" t="inlineStr">
        <is>
          <t>incident-reporter</t>
        </is>
      </c>
      <c r="E531">
        <f>HYPERLINK("http://gitlab.osmosys.co/incident-reporter/incident-reporter-angular-portal", "OQSHA Portal")</f>
        <v/>
      </c>
      <c r="F531">
        <f>HYPERLINK("http://gitlab.osmosys.co/incident-reporter/incident-reporter-angular-portal/-/merge_requests/3461", "fix: configure auth guard to disallow navigation to hidden setup pages")</f>
        <v/>
      </c>
      <c r="G531" t="inlineStr">
        <is>
          <t>fix/block-setup-navigation</t>
        </is>
      </c>
      <c r="H531" t="inlineStr">
        <is>
          <t>sprint-17</t>
        </is>
      </c>
      <c r="I531" t="inlineStr">
        <is>
          <t>merged</t>
        </is>
      </c>
      <c r="J531" t="inlineStr">
        <is>
          <t>bdd8faf16fb8436048dc50abb309abf74d2e592e</t>
        </is>
      </c>
      <c r="K531">
        <f>HYPERLINK("http://gitlab.osmosys.co/incident-reporter/incident-reporter-angular-portal/-/merge_requests/3461#note_237323", "Rename to setupPageRoute")</f>
        <v/>
      </c>
      <c r="L531" t="inlineStr">
        <is>
          <t>2025-07-16 11:08:37.862 IST</t>
        </is>
      </c>
      <c r="M531" t="inlineStr">
        <is>
          <t>Soundariya B</t>
        </is>
      </c>
      <c r="N531" t="inlineStr">
        <is>
          <t>Yes</t>
        </is>
      </c>
      <c r="O531" t="inlineStr">
        <is>
          <t>Yes</t>
        </is>
      </c>
      <c r="P531" t="inlineStr">
        <is>
          <t>Soundariya B</t>
        </is>
      </c>
      <c r="Q531" t="inlineStr">
        <is>
          <t>Bad</t>
        </is>
      </c>
    </row>
    <row r="532">
      <c r="A532" t="inlineStr">
        <is>
          <t>aditya.c</t>
        </is>
      </c>
      <c r="B532" t="inlineStr">
        <is>
          <t>Aditya Chakraborty</t>
        </is>
      </c>
      <c r="C532" t="inlineStr">
        <is>
          <t>aditya.c@osmosys.co</t>
        </is>
      </c>
      <c r="D532" t="inlineStr">
        <is>
          <t>incident-reporter</t>
        </is>
      </c>
      <c r="E532">
        <f>HYPERLINK("http://gitlab.osmosys.co/incident-reporter/incident-reporter-angular-portal", "OQSHA Portal")</f>
        <v/>
      </c>
      <c r="F532">
        <f>HYPERLINK("http://gitlab.osmosys.co/incident-reporter/incident-reporter-angular-portal/-/merge_requests/3461", "fix: configure auth guard to disallow navigation to hidden setup pages")</f>
        <v/>
      </c>
      <c r="G532" t="inlineStr">
        <is>
          <t>fix/block-setup-navigation</t>
        </is>
      </c>
      <c r="H532" t="inlineStr">
        <is>
          <t>sprint-17</t>
        </is>
      </c>
      <c r="I532" t="inlineStr">
        <is>
          <t>merged</t>
        </is>
      </c>
      <c r="J532" t="inlineStr">
        <is>
          <t>c88d33cde8c0c4552fbc1700f85c1c2963bf29db</t>
        </is>
      </c>
      <c r="K532">
        <f>HYPERLINK("http://gitlab.osmosys.co/incident-reporter/incident-reporter-angular-portal/-/merge_requests/3461#note_237324", "can you give me a small demo video for this as because with SS I can't see the manual route?")</f>
        <v/>
      </c>
      <c r="L532" t="inlineStr">
        <is>
          <t>2025-07-16 11:08:37.910 IST</t>
        </is>
      </c>
      <c r="M532" t="inlineStr">
        <is>
          <t>Soundariya B</t>
        </is>
      </c>
      <c r="N532" t="inlineStr">
        <is>
          <t>Yes</t>
        </is>
      </c>
      <c r="O532" t="inlineStr">
        <is>
          <t>Yes</t>
        </is>
      </c>
      <c r="P532" t="inlineStr">
        <is>
          <t>Soundariya B</t>
        </is>
      </c>
      <c r="Q532" t="inlineStr">
        <is>
          <t>Good</t>
        </is>
      </c>
    </row>
    <row r="533">
      <c r="A533" t="inlineStr">
        <is>
          <t>aditya.c</t>
        </is>
      </c>
      <c r="B533" t="inlineStr">
        <is>
          <t>Aditya Chakraborty</t>
        </is>
      </c>
      <c r="C533" t="inlineStr">
        <is>
          <t>aditya.c@osmosys.co</t>
        </is>
      </c>
      <c r="D533" t="inlineStr">
        <is>
          <t>incident-reporter</t>
        </is>
      </c>
      <c r="E533">
        <f>HYPERLINK("http://gitlab.osmosys.co/incident-reporter/incident-reporter-angular-portal", "OQSHA Portal")</f>
        <v/>
      </c>
      <c r="F533">
        <f>HYPERLINK("http://gitlab.osmosys.co/incident-reporter/incident-reporter-angular-portal/-/merge_requests/3461", "fix: configure auth guard to disallow navigation to hidden setup pages")</f>
        <v/>
      </c>
      <c r="G533" t="inlineStr">
        <is>
          <t>fix/block-setup-navigation</t>
        </is>
      </c>
      <c r="H533" t="inlineStr">
        <is>
          <t>sprint-17</t>
        </is>
      </c>
      <c r="I533" t="inlineStr">
        <is>
          <t>merged</t>
        </is>
      </c>
      <c r="J533" t="inlineStr">
        <is>
          <t>c88d33cde8c0c4552fbc1700f85c1c2963bf29db</t>
        </is>
      </c>
      <c r="K533">
        <f>HYPERLINK("http://gitlab.osmosys.co/incident-reporter/incident-reporter-angular-portal/-/merge_requests/3461#note_237682", "Added")</f>
        <v/>
      </c>
      <c r="L533" t="inlineStr">
        <is>
          <t>2025-07-16 16:39:04.983 IST</t>
        </is>
      </c>
      <c r="M533" t="inlineStr">
        <is>
          <t>Aditya Chakraborty</t>
        </is>
      </c>
      <c r="N533" t="inlineStr">
        <is>
          <t>No</t>
        </is>
      </c>
      <c r="O533" t="inlineStr">
        <is>
          <t>Yes</t>
        </is>
      </c>
      <c r="P533" t="inlineStr">
        <is>
          <t>Soundariya B</t>
        </is>
      </c>
      <c r="Q533" t="inlineStr">
        <is>
          <t>Good</t>
        </is>
      </c>
    </row>
    <row r="534">
      <c r="A534" t="inlineStr">
        <is>
          <t>aditya.c</t>
        </is>
      </c>
      <c r="B534" t="inlineStr">
        <is>
          <t>Aditya Chakraborty</t>
        </is>
      </c>
      <c r="C534" t="inlineStr">
        <is>
          <t>aditya.c@osmosys.co</t>
        </is>
      </c>
      <c r="D534" t="inlineStr">
        <is>
          <t>incident-reporter</t>
        </is>
      </c>
      <c r="E534">
        <f>HYPERLINK("http://gitlab.osmosys.co/incident-reporter/incident-reporter-angular-portal", "OQSHA Portal")</f>
        <v/>
      </c>
      <c r="F534">
        <f>HYPERLINK("http://gitlab.osmosys.co/incident-reporter/incident-reporter-angular-portal/-/merge_requests/3450", "fix: update order of fields in add-edit dept page")</f>
        <v/>
      </c>
      <c r="G534" t="inlineStr">
        <is>
          <t>fix/dept-fields-order</t>
        </is>
      </c>
      <c r="H534" t="inlineStr">
        <is>
          <t>sprint-17</t>
        </is>
      </c>
      <c r="I534" t="inlineStr">
        <is>
          <t>merged</t>
        </is>
      </c>
      <c r="J534" t="inlineStr"/>
      <c r="K534" t="inlineStr"/>
      <c r="L534" t="inlineStr"/>
      <c r="M534" t="inlineStr"/>
      <c r="N534" t="inlineStr"/>
      <c r="O534" t="inlineStr"/>
      <c r="P534" t="inlineStr"/>
      <c r="Q534" t="inlineStr"/>
    </row>
    <row r="535">
      <c r="A535" t="inlineStr">
        <is>
          <t>aditya.c</t>
        </is>
      </c>
      <c r="B535" t="inlineStr">
        <is>
          <t>Aditya Chakraborty</t>
        </is>
      </c>
      <c r="C535" t="inlineStr">
        <is>
          <t>aditya.c@osmosys.co</t>
        </is>
      </c>
      <c r="D535" t="inlineStr">
        <is>
          <t>incident-reporter</t>
        </is>
      </c>
      <c r="E535">
        <f>HYPERLINK("http://gitlab.osmosys.co/incident-reporter/incident-reporter-angular-portal", "OQSHA Portal")</f>
        <v/>
      </c>
      <c r="F535">
        <f>HYPERLINK("http://gitlab.osmosys.co/incident-reporter/incident-reporter-angular-portal/-/merge_requests/3447", "fix: re-add removed changes in inspection module")</f>
        <v/>
      </c>
      <c r="G535" t="inlineStr">
        <is>
          <t>fix/revert-removed-changes</t>
        </is>
      </c>
      <c r="H535" t="inlineStr">
        <is>
          <t>sprint-17</t>
        </is>
      </c>
      <c r="I535" t="inlineStr">
        <is>
          <t>merged</t>
        </is>
      </c>
      <c r="J535" t="inlineStr"/>
      <c r="K535" t="inlineStr"/>
      <c r="L535" t="inlineStr"/>
      <c r="M535" t="inlineStr"/>
      <c r="N535" t="inlineStr"/>
      <c r="O535" t="inlineStr"/>
      <c r="P535" t="inlineStr"/>
      <c r="Q535" t="inlineStr"/>
    </row>
    <row r="536">
      <c r="A536" t="inlineStr">
        <is>
          <t>aditya.c</t>
        </is>
      </c>
      <c r="B536" t="inlineStr">
        <is>
          <t>Aditya Chakraborty</t>
        </is>
      </c>
      <c r="C536" t="inlineStr">
        <is>
          <t>aditya.c@osmosys.co</t>
        </is>
      </c>
      <c r="D536" t="inlineStr">
        <is>
          <t>incident-reporter</t>
        </is>
      </c>
      <c r="E536">
        <f>HYPERLINK("http://gitlab.osmosys.co/incident-reporter/incident-reporter-angular-portal", "OQSHA Portal")</f>
        <v/>
      </c>
      <c r="F536">
        <f>HYPERLINK("http://gitlab.osmosys.co/incident-reporter/incident-reporter-angular-portal/-/merge_requests/3441", "fix: update datatables rendering logic on ui")</f>
        <v/>
      </c>
      <c r="G536" t="inlineStr">
        <is>
          <t>fix/dept-table-width</t>
        </is>
      </c>
      <c r="H536" t="inlineStr">
        <is>
          <t>sprint-17</t>
        </is>
      </c>
      <c r="I536" t="inlineStr">
        <is>
          <t>merged</t>
        </is>
      </c>
      <c r="J536" t="inlineStr"/>
      <c r="K536" t="inlineStr"/>
      <c r="L536" t="inlineStr"/>
      <c r="M536" t="inlineStr"/>
      <c r="N536" t="inlineStr"/>
      <c r="O536" t="inlineStr"/>
      <c r="P536" t="inlineStr"/>
      <c r="Q536" t="inlineStr"/>
    </row>
    <row r="537">
      <c r="A537" t="inlineStr">
        <is>
          <t>aditya.c</t>
        </is>
      </c>
      <c r="B537" t="inlineStr">
        <is>
          <t>Aditya Chakraborty</t>
        </is>
      </c>
      <c r="C537" t="inlineStr">
        <is>
          <t>aditya.c@osmosys.co</t>
        </is>
      </c>
      <c r="D537" t="inlineStr">
        <is>
          <t>incident-reporter</t>
        </is>
      </c>
      <c r="E537">
        <f>HYPERLINK("http://gitlab.osmosys.co/incident-reporter/incident-reporter-angular-portal", "OQSHA Portal")</f>
        <v/>
      </c>
      <c r="F537">
        <f>HYPERLINK("http://gitlab.osmosys.co/incident-reporter/incident-reporter-angular-portal/-/merge_requests/3436", "fix: update user preferences object")</f>
        <v/>
      </c>
      <c r="G537" t="inlineStr">
        <is>
          <t>fix/add-edit-update-prefs</t>
        </is>
      </c>
      <c r="H537" t="inlineStr">
        <is>
          <t>sprint-17</t>
        </is>
      </c>
      <c r="I537" t="inlineStr">
        <is>
          <t>merged</t>
        </is>
      </c>
      <c r="J537" t="inlineStr"/>
      <c r="K537" t="inlineStr"/>
      <c r="L537" t="inlineStr"/>
      <c r="M537" t="inlineStr"/>
      <c r="N537" t="inlineStr"/>
      <c r="O537" t="inlineStr"/>
      <c r="P537" t="inlineStr"/>
      <c r="Q537" t="inlineStr"/>
    </row>
    <row r="538">
      <c r="A538" t="inlineStr">
        <is>
          <t>aditya.c</t>
        </is>
      </c>
      <c r="B538" t="inlineStr">
        <is>
          <t>Aditya Chakraborty</t>
        </is>
      </c>
      <c r="C538" t="inlineStr">
        <is>
          <t>aditya.c@osmosys.co</t>
        </is>
      </c>
      <c r="D538" t="inlineStr">
        <is>
          <t>incident-reporter</t>
        </is>
      </c>
      <c r="E538">
        <f>HYPERLINK("http://gitlab.osmosys.co/incident-reporter/incident-reporter-angular-portal", "OQSHA Portal")</f>
        <v/>
      </c>
      <c r="F538">
        <f>HYPERLINK("http://gitlab.osmosys.co/incident-reporter/incident-reporter-angular-portal/-/merge_requests/3435", "fix: make multiple fixes in departments modules")</f>
        <v/>
      </c>
      <c r="G538" t="inlineStr">
        <is>
          <t>fix/departments-bugs</t>
        </is>
      </c>
      <c r="H538" t="inlineStr">
        <is>
          <t>sprint-17</t>
        </is>
      </c>
      <c r="I538" t="inlineStr">
        <is>
          <t>merged</t>
        </is>
      </c>
      <c r="J538" t="inlineStr"/>
      <c r="K538" t="inlineStr"/>
      <c r="L538" t="inlineStr"/>
      <c r="M538" t="inlineStr"/>
      <c r="N538" t="inlineStr"/>
      <c r="O538" t="inlineStr"/>
      <c r="P538" t="inlineStr"/>
      <c r="Q538" t="inlineStr"/>
    </row>
    <row r="539">
      <c r="A539" t="inlineStr">
        <is>
          <t>aditya.c</t>
        </is>
      </c>
      <c r="B539" t="inlineStr">
        <is>
          <t>Aditya Chakraborty</t>
        </is>
      </c>
      <c r="C539" t="inlineStr">
        <is>
          <t>aditya.c@osmosys.co</t>
        </is>
      </c>
      <c r="D539" t="inlineStr">
        <is>
          <t>incident-reporter</t>
        </is>
      </c>
      <c r="E539">
        <f>HYPERLINK("http://gitlab.osmosys.co/incident-reporter/incident-reporter-angular-portal", "OQSHA Portal")</f>
        <v/>
      </c>
      <c r="F539">
        <f>HYPERLINK("http://gitlab.osmosys.co/incident-reporter/incident-reporter-angular-portal/-/merge_requests/3430", "fix: update constants, lang files for proper module name display on add roles page (sprint-16)")</f>
        <v/>
      </c>
      <c r="G539" t="inlineStr">
        <is>
          <t>fix/add-app-fieldstaff-module</t>
        </is>
      </c>
      <c r="H539" t="inlineStr">
        <is>
          <t>sprint-16</t>
        </is>
      </c>
      <c r="I539" t="inlineStr">
        <is>
          <t>merged</t>
        </is>
      </c>
      <c r="J539" t="inlineStr"/>
      <c r="K539" t="inlineStr"/>
      <c r="L539" t="inlineStr"/>
      <c r="M539" t="inlineStr"/>
      <c r="N539" t="inlineStr"/>
      <c r="O539" t="inlineStr"/>
      <c r="P539" t="inlineStr"/>
      <c r="Q539" t="inlineStr"/>
    </row>
    <row r="540">
      <c r="A540" t="inlineStr">
        <is>
          <t>aditya.c</t>
        </is>
      </c>
      <c r="B540" t="inlineStr">
        <is>
          <t>Aditya Chakraborty</t>
        </is>
      </c>
      <c r="C540" t="inlineStr">
        <is>
          <t>aditya.c@osmosys.co</t>
        </is>
      </c>
      <c r="D540" t="inlineStr">
        <is>
          <t>incident-reporter</t>
        </is>
      </c>
      <c r="E540">
        <f>HYPERLINK("http://gitlab.osmosys.co/incident-reporter/incident-reporter-angular-portal", "OQSHA Portal")</f>
        <v/>
      </c>
      <c r="F540">
        <f>HYPERLINK("http://gitlab.osmosys.co/incident-reporter/incident-reporter-angular-portal/-/merge_requests/3429", "fix: update tickets page payload (sprint-16)")</f>
        <v/>
      </c>
      <c r="G540" t="inlineStr">
        <is>
          <t>fix/tickets-users-payload</t>
        </is>
      </c>
      <c r="H540" t="inlineStr">
        <is>
          <t>sprint-16</t>
        </is>
      </c>
      <c r="I540" t="inlineStr">
        <is>
          <t>merged</t>
        </is>
      </c>
      <c r="J540" t="inlineStr"/>
      <c r="K540" t="inlineStr"/>
      <c r="L540" t="inlineStr"/>
      <c r="M540" t="inlineStr"/>
      <c r="N540" t="inlineStr"/>
      <c r="O540" t="inlineStr"/>
      <c r="P540" t="inlineStr"/>
      <c r="Q540" t="inlineStr"/>
    </row>
    <row r="541">
      <c r="A541" t="inlineStr">
        <is>
          <t>aditya.c</t>
        </is>
      </c>
      <c r="B541" t="inlineStr">
        <is>
          <t>Aditya Chakraborty</t>
        </is>
      </c>
      <c r="C541" t="inlineStr">
        <is>
          <t>aditya.c@osmosys.co</t>
        </is>
      </c>
      <c r="D541" t="inlineStr">
        <is>
          <t>incident-reporter</t>
        </is>
      </c>
      <c r="E541">
        <f>HYPERLINK("http://gitlab.osmosys.co/incident-reporter/incident-reporter-angular-portal", "OQSHA Portal")</f>
        <v/>
      </c>
      <c r="F541">
        <f>HYPERLINK("http://gitlab.osmosys.co/incident-reporter/incident-reporter-angular-portal/-/merge_requests/3428", "fix: update ptw filters payload object (sprint-16)")</f>
        <v/>
      </c>
      <c r="G541" t="inlineStr">
        <is>
          <t>feat/ptw-status-dropdown</t>
        </is>
      </c>
      <c r="H541" t="inlineStr">
        <is>
          <t>sprint-16</t>
        </is>
      </c>
      <c r="I541" t="inlineStr">
        <is>
          <t>merged</t>
        </is>
      </c>
      <c r="J541" t="inlineStr"/>
      <c r="K541" t="inlineStr"/>
      <c r="L541" t="inlineStr"/>
      <c r="M541" t="inlineStr"/>
      <c r="N541" t="inlineStr"/>
      <c r="O541" t="inlineStr"/>
      <c r="P541" t="inlineStr"/>
      <c r="Q541" t="inlineStr"/>
    </row>
    <row r="542">
      <c r="A542" t="inlineStr">
        <is>
          <t>aditya.c</t>
        </is>
      </c>
      <c r="B542" t="inlineStr">
        <is>
          <t>Aditya Chakraborty</t>
        </is>
      </c>
      <c r="C542" t="inlineStr">
        <is>
          <t>aditya.c@osmosys.co</t>
        </is>
      </c>
      <c r="D542" t="inlineStr">
        <is>
          <t>incident-reporter</t>
        </is>
      </c>
      <c r="E542">
        <f>HYPERLINK("http://gitlab.osmosys.co/incident-reporter/incident-reporter-angular-portal", "OQSHA Portal")</f>
        <v/>
      </c>
      <c r="F542">
        <f>HYPERLINK("http://gitlab.osmosys.co/incident-reporter/incident-reporter-angular-portal/-/merge_requests/3427", "fix: duplicate api calls on most list pages")</f>
        <v/>
      </c>
      <c r="G542" t="inlineStr">
        <is>
          <t>fix/duplicate-api-calls</t>
        </is>
      </c>
      <c r="H542" t="inlineStr">
        <is>
          <t>sprint-17</t>
        </is>
      </c>
      <c r="I542" t="inlineStr">
        <is>
          <t>merged</t>
        </is>
      </c>
      <c r="J542" t="inlineStr">
        <is>
          <t>09402ff99cfb2353bc665123f33dea98012ce1dc</t>
        </is>
      </c>
      <c r="K542">
        <f>HYPERLINK("http://gitlab.osmosys.co/incident-reporter/incident-reporter-angular-portal/-/merge_requests/3427#note_237471", "Merge conflicts")</f>
        <v/>
      </c>
      <c r="L542" t="inlineStr">
        <is>
          <t>2025-07-16 13:43:47.975 IST</t>
        </is>
      </c>
      <c r="M542" t="inlineStr">
        <is>
          <t>Soundariya B</t>
        </is>
      </c>
      <c r="N542" t="inlineStr">
        <is>
          <t>Yes</t>
        </is>
      </c>
      <c r="O542" t="inlineStr">
        <is>
          <t>Yes</t>
        </is>
      </c>
      <c r="P542" t="inlineStr">
        <is>
          <t>Soundariya B</t>
        </is>
      </c>
      <c r="Q542" t="inlineStr">
        <is>
          <t>Bad</t>
        </is>
      </c>
    </row>
    <row r="543">
      <c r="A543" t="inlineStr">
        <is>
          <t>aditya.c</t>
        </is>
      </c>
      <c r="B543" t="inlineStr">
        <is>
          <t>Aditya Chakraborty</t>
        </is>
      </c>
      <c r="C543" t="inlineStr">
        <is>
          <t>aditya.c@osmosys.co</t>
        </is>
      </c>
      <c r="D543" t="inlineStr">
        <is>
          <t>incident-reporter</t>
        </is>
      </c>
      <c r="E543">
        <f>HYPERLINK("http://gitlab.osmosys.co/incident-reporter/incident-reporter-angular-portal", "OQSHA Portal")</f>
        <v/>
      </c>
      <c r="F543">
        <f>HYPERLINK("http://gitlab.osmosys.co/incident-reporter/incident-reporter-angular-portal/-/merge_requests/3427", "fix: duplicate api calls on most list pages")</f>
        <v/>
      </c>
      <c r="G543" t="inlineStr">
        <is>
          <t>fix/duplicate-api-calls</t>
        </is>
      </c>
      <c r="H543" t="inlineStr">
        <is>
          <t>sprint-17</t>
        </is>
      </c>
      <c r="I543" t="inlineStr">
        <is>
          <t>merged</t>
        </is>
      </c>
      <c r="J543" t="inlineStr">
        <is>
          <t>c86be5c777a6a0ab7f1e76e67de0d685a6fd89dd</t>
        </is>
      </c>
      <c r="K543">
        <f>HYPERLINK("http://gitlab.osmosys.co/incident-reporter/incident-reporter-angular-portal/-/merge_requests/3427#note_237472", "Why did you remove this?")</f>
        <v/>
      </c>
      <c r="L543" t="inlineStr">
        <is>
          <t>2025-07-16 13:43:48.039 IST</t>
        </is>
      </c>
      <c r="M543" t="inlineStr">
        <is>
          <t>Soundariya B</t>
        </is>
      </c>
      <c r="N543" t="inlineStr">
        <is>
          <t>Yes</t>
        </is>
      </c>
      <c r="O543" t="inlineStr">
        <is>
          <t>Yes</t>
        </is>
      </c>
      <c r="P543" t="inlineStr">
        <is>
          <t>Soundariya B</t>
        </is>
      </c>
      <c r="Q543" t="inlineStr">
        <is>
          <t>Neutral</t>
        </is>
      </c>
    </row>
    <row r="544">
      <c r="A544" t="inlineStr">
        <is>
          <t>aditya.c</t>
        </is>
      </c>
      <c r="B544" t="inlineStr">
        <is>
          <t>Aditya Chakraborty</t>
        </is>
      </c>
      <c r="C544" t="inlineStr">
        <is>
          <t>aditya.c@osmosys.co</t>
        </is>
      </c>
      <c r="D544" t="inlineStr">
        <is>
          <t>incident-reporter</t>
        </is>
      </c>
      <c r="E544">
        <f>HYPERLINK("http://gitlab.osmosys.co/incident-reporter/incident-reporter-angular-portal", "OQSHA Portal")</f>
        <v/>
      </c>
      <c r="F544">
        <f>HYPERLINK("http://gitlab.osmosys.co/incident-reporter/incident-reporter-angular-portal/-/merge_requests/3427", "fix: duplicate api calls on most list pages")</f>
        <v/>
      </c>
      <c r="G544" t="inlineStr">
        <is>
          <t>fix/duplicate-api-calls</t>
        </is>
      </c>
      <c r="H544" t="inlineStr">
        <is>
          <t>sprint-17</t>
        </is>
      </c>
      <c r="I544" t="inlineStr">
        <is>
          <t>merged</t>
        </is>
      </c>
      <c r="J544" t="inlineStr">
        <is>
          <t>c86be5c777a6a0ab7f1e76e67de0d685a6fd89dd</t>
        </is>
      </c>
      <c r="K544">
        <f>HYPERLINK("http://gitlab.osmosys.co/incident-reporter/incident-reporter-angular-portal/-/merge_requests/3427#note_237559", "This is the duplicate call - we already are calling")</f>
        <v/>
      </c>
      <c r="L544" t="inlineStr">
        <is>
          <t>2025-07-16 14:59:25.684 IST</t>
        </is>
      </c>
      <c r="M544" t="inlineStr">
        <is>
          <t>Aditya Chakraborty</t>
        </is>
      </c>
      <c r="N544" t="inlineStr">
        <is>
          <t>No</t>
        </is>
      </c>
      <c r="O544" t="inlineStr">
        <is>
          <t>Yes</t>
        </is>
      </c>
      <c r="P544" t="inlineStr">
        <is>
          <t>Soundariya B</t>
        </is>
      </c>
      <c r="Q544" t="inlineStr">
        <is>
          <t>Neutral</t>
        </is>
      </c>
    </row>
    <row r="545">
      <c r="A545" t="inlineStr">
        <is>
          <t>aditya.c</t>
        </is>
      </c>
      <c r="B545" t="inlineStr">
        <is>
          <t>Aditya Chakraborty</t>
        </is>
      </c>
      <c r="C545" t="inlineStr">
        <is>
          <t>aditya.c@osmosys.co</t>
        </is>
      </c>
      <c r="D545" t="inlineStr">
        <is>
          <t>incident-reporter</t>
        </is>
      </c>
      <c r="E545">
        <f>HYPERLINK("http://gitlab.osmosys.co/incident-reporter/incident-reporter-angular-portal", "OQSHA Portal")</f>
        <v/>
      </c>
      <c r="F545">
        <f>HYPERLINK("http://gitlab.osmosys.co/incident-reporter/incident-reporter-angular-portal/-/merge_requests/3427", "fix: duplicate api calls on most list pages")</f>
        <v/>
      </c>
      <c r="G545" t="inlineStr">
        <is>
          <t>fix/duplicate-api-calls</t>
        </is>
      </c>
      <c r="H545" t="inlineStr">
        <is>
          <t>sprint-17</t>
        </is>
      </c>
      <c r="I545" t="inlineStr">
        <is>
          <t>merged</t>
        </is>
      </c>
      <c r="J545" t="inlineStr">
        <is>
          <t>bf926a4ed25d870ed82d20603f4e1e48a1e3b07b</t>
        </is>
      </c>
      <c r="K545">
        <f>HYPERLINK("http://gitlab.osmosys.co/incident-reporter/incident-reporter-angular-portal/-/merge_requests/3427#note_237473", "If using parsent to convert that is enough then why are you using Number.?")</f>
        <v/>
      </c>
      <c r="L545" t="inlineStr">
        <is>
          <t>2025-07-16 13:43:48.102 IST</t>
        </is>
      </c>
      <c r="M545" t="inlineStr">
        <is>
          <t>Soundariya B</t>
        </is>
      </c>
      <c r="N545" t="inlineStr">
        <is>
          <t>Yes</t>
        </is>
      </c>
      <c r="O545" t="inlineStr">
        <is>
          <t>Yes</t>
        </is>
      </c>
      <c r="P545" t="inlineStr">
        <is>
          <t>Soundariya B</t>
        </is>
      </c>
      <c r="Q545" t="inlineStr">
        <is>
          <t>Neutral</t>
        </is>
      </c>
    </row>
    <row r="546">
      <c r="A546" t="inlineStr">
        <is>
          <t>aditya.c</t>
        </is>
      </c>
      <c r="B546" t="inlineStr">
        <is>
          <t>Aditya Chakraborty</t>
        </is>
      </c>
      <c r="C546" t="inlineStr">
        <is>
          <t>aditya.c@osmosys.co</t>
        </is>
      </c>
      <c r="D546" t="inlineStr">
        <is>
          <t>incident-reporter</t>
        </is>
      </c>
      <c r="E546">
        <f>HYPERLINK("http://gitlab.osmosys.co/incident-reporter/incident-reporter-angular-portal", "OQSHA Portal")</f>
        <v/>
      </c>
      <c r="F546">
        <f>HYPERLINK("http://gitlab.osmosys.co/incident-reporter/incident-reporter-angular-portal/-/merge_requests/3427", "fix: duplicate api calls on most list pages")</f>
        <v/>
      </c>
      <c r="G546" t="inlineStr">
        <is>
          <t>fix/duplicate-api-calls</t>
        </is>
      </c>
      <c r="H546" t="inlineStr">
        <is>
          <t>sprint-17</t>
        </is>
      </c>
      <c r="I546" t="inlineStr">
        <is>
          <t>merged</t>
        </is>
      </c>
      <c r="J546" t="inlineStr">
        <is>
          <t>bf926a4ed25d870ed82d20603f4e1e48a1e3b07b</t>
        </is>
      </c>
      <c r="K546">
        <f>HYPERLINK("http://gitlab.osmosys.co/incident-reporter/incident-reporter-angular-portal/-/merge_requests/3427#note_237560", "Reverting")</f>
        <v/>
      </c>
      <c r="L546" t="inlineStr">
        <is>
          <t>2025-07-16 14:59:35.691 IST</t>
        </is>
      </c>
      <c r="M546" t="inlineStr">
        <is>
          <t>Aditya Chakraborty</t>
        </is>
      </c>
      <c r="N546" t="inlineStr">
        <is>
          <t>No</t>
        </is>
      </c>
      <c r="O546" t="inlineStr">
        <is>
          <t>Yes</t>
        </is>
      </c>
      <c r="P546" t="inlineStr">
        <is>
          <t>Soundariya B</t>
        </is>
      </c>
      <c r="Q546" t="inlineStr">
        <is>
          <t>Neutral</t>
        </is>
      </c>
    </row>
    <row r="547">
      <c r="A547" t="inlineStr">
        <is>
          <t>aditya.c</t>
        </is>
      </c>
      <c r="B547" t="inlineStr">
        <is>
          <t>Aditya Chakraborty</t>
        </is>
      </c>
      <c r="C547" t="inlineStr">
        <is>
          <t>aditya.c@osmosys.co</t>
        </is>
      </c>
      <c r="D547" t="inlineStr">
        <is>
          <t>incident-reporter</t>
        </is>
      </c>
      <c r="E547">
        <f>HYPERLINK("http://gitlab.osmosys.co/incident-reporter/incident-reporter-angular-portal", "OQSHA Portal")</f>
        <v/>
      </c>
      <c r="F547">
        <f>HYPERLINK("http://gitlab.osmosys.co/incident-reporter/incident-reporter-angular-portal/-/merge_requests/3427", "fix: duplicate api calls on most list pages")</f>
        <v/>
      </c>
      <c r="G547" t="inlineStr">
        <is>
          <t>fix/duplicate-api-calls</t>
        </is>
      </c>
      <c r="H547" t="inlineStr">
        <is>
          <t>sprint-17</t>
        </is>
      </c>
      <c r="I547" t="inlineStr">
        <is>
          <t>merged</t>
        </is>
      </c>
      <c r="J547" t="inlineStr">
        <is>
          <t>f4215ae83cfbdc3bf261031ccaab90438ef44b5f</t>
        </is>
      </c>
      <c r="K547">
        <f>HYPERLINK("http://gitlab.osmosys.co/incident-reporter/incident-reporter-angular-portal/-/merge_requests/3427#note_237474", "Doubtful - Why these are removed?")</f>
        <v/>
      </c>
      <c r="L547" t="inlineStr">
        <is>
          <t>2025-07-16 13:43:48.176 IST</t>
        </is>
      </c>
      <c r="M547" t="inlineStr">
        <is>
          <t>Soundariya B</t>
        </is>
      </c>
      <c r="N547" t="inlineStr">
        <is>
          <t>Yes</t>
        </is>
      </c>
      <c r="O547" t="inlineStr">
        <is>
          <t>Yes</t>
        </is>
      </c>
      <c r="P547" t="inlineStr">
        <is>
          <t>Soundariya B</t>
        </is>
      </c>
      <c r="Q547" t="inlineStr">
        <is>
          <t>Neutral</t>
        </is>
      </c>
    </row>
    <row r="548">
      <c r="A548" t="inlineStr">
        <is>
          <t>aditya.c</t>
        </is>
      </c>
      <c r="B548" t="inlineStr">
        <is>
          <t>Aditya Chakraborty</t>
        </is>
      </c>
      <c r="C548" t="inlineStr">
        <is>
          <t>aditya.c@osmosys.co</t>
        </is>
      </c>
      <c r="D548" t="inlineStr">
        <is>
          <t>incident-reporter</t>
        </is>
      </c>
      <c r="E548">
        <f>HYPERLINK("http://gitlab.osmosys.co/incident-reporter/incident-reporter-angular-portal", "OQSHA Portal")</f>
        <v/>
      </c>
      <c r="F548">
        <f>HYPERLINK("http://gitlab.osmosys.co/incident-reporter/incident-reporter-angular-portal/-/merge_requests/3427", "fix: duplicate api calls on most list pages")</f>
        <v/>
      </c>
      <c r="G548" t="inlineStr">
        <is>
          <t>fix/duplicate-api-calls</t>
        </is>
      </c>
      <c r="H548" t="inlineStr">
        <is>
          <t>sprint-17</t>
        </is>
      </c>
      <c r="I548" t="inlineStr">
        <is>
          <t>merged</t>
        </is>
      </c>
      <c r="J548" t="inlineStr">
        <is>
          <t>f4215ae83cfbdc3bf261031ccaab90438ef44b5f</t>
        </is>
      </c>
      <c r="K548">
        <f>HYPERLINK("http://gitlab.osmosys.co/incident-reporter/incident-reporter-angular-portal/-/merge_requests/3427#note_237561", "![Screen_Recording_2025-07-16_150118](/uploads/a139ad91e74a09f512e305432862bd6c/Screen_Recording_2025-07-16_150118.mp4)
I assure you all APIs are being called correctly
These are all duplicates")</f>
        <v/>
      </c>
      <c r="L548" t="inlineStr">
        <is>
          <t>2025-07-16 15:02:06.288 IST</t>
        </is>
      </c>
      <c r="M548" t="inlineStr">
        <is>
          <t>Aditya Chakraborty</t>
        </is>
      </c>
      <c r="N548" t="inlineStr">
        <is>
          <t>No</t>
        </is>
      </c>
      <c r="O548" t="inlineStr">
        <is>
          <t>Yes</t>
        </is>
      </c>
      <c r="P548" t="inlineStr">
        <is>
          <t>Soundariya B</t>
        </is>
      </c>
      <c r="Q548" t="inlineStr">
        <is>
          <t>Neutral</t>
        </is>
      </c>
    </row>
    <row r="549">
      <c r="A549" t="inlineStr">
        <is>
          <t>aditya.c</t>
        </is>
      </c>
      <c r="B549" t="inlineStr">
        <is>
          <t>Aditya Chakraborty</t>
        </is>
      </c>
      <c r="C549" t="inlineStr">
        <is>
          <t>aditya.c@osmosys.co</t>
        </is>
      </c>
      <c r="D549" t="inlineStr">
        <is>
          <t>incident-reporter</t>
        </is>
      </c>
      <c r="E549">
        <f>HYPERLINK("http://gitlab.osmosys.co/incident-reporter/incident-reporter-angular-portal", "OQSHA Portal")</f>
        <v/>
      </c>
      <c r="F549">
        <f>HYPERLINK("http://gitlab.osmosys.co/incident-reporter/incident-reporter-angular-portal/-/merge_requests/3427", "fix: duplicate api calls on most list pages")</f>
        <v/>
      </c>
      <c r="G549" t="inlineStr">
        <is>
          <t>fix/duplicate-api-calls</t>
        </is>
      </c>
      <c r="H549" t="inlineStr">
        <is>
          <t>sprint-17</t>
        </is>
      </c>
      <c r="I549" t="inlineStr">
        <is>
          <t>merged</t>
        </is>
      </c>
      <c r="J549" t="inlineStr">
        <is>
          <t>394165310ab183edc698b35be90f91333429b78b</t>
        </is>
      </c>
      <c r="K549">
        <f>HYPERLINK("http://gitlab.osmosys.co/incident-reporter/incident-reporter-angular-portal/-/merge_requests/3427#note_237475", "I understand you are removing duplicate api calls but are these api calling anywhere in this file for a 1 time at least?")</f>
        <v/>
      </c>
      <c r="L549" t="inlineStr">
        <is>
          <t>2025-07-16 13:43:48.236 IST</t>
        </is>
      </c>
      <c r="M549" t="inlineStr">
        <is>
          <t>Soundariya B</t>
        </is>
      </c>
      <c r="N549" t="inlineStr">
        <is>
          <t>Yes</t>
        </is>
      </c>
      <c r="O549" t="inlineStr">
        <is>
          <t>Yes</t>
        </is>
      </c>
      <c r="P549" t="inlineStr">
        <is>
          <t>Soundariya B</t>
        </is>
      </c>
      <c r="Q549" t="inlineStr">
        <is>
          <t>Neutral</t>
        </is>
      </c>
    </row>
    <row r="550">
      <c r="A550" t="inlineStr">
        <is>
          <t>aditya.c</t>
        </is>
      </c>
      <c r="B550" t="inlineStr">
        <is>
          <t>Aditya Chakraborty</t>
        </is>
      </c>
      <c r="C550" t="inlineStr">
        <is>
          <t>aditya.c@osmosys.co</t>
        </is>
      </c>
      <c r="D550" t="inlineStr">
        <is>
          <t>incident-reporter</t>
        </is>
      </c>
      <c r="E550">
        <f>HYPERLINK("http://gitlab.osmosys.co/incident-reporter/incident-reporter-angular-portal", "OQSHA Portal")</f>
        <v/>
      </c>
      <c r="F550">
        <f>HYPERLINK("http://gitlab.osmosys.co/incident-reporter/incident-reporter-angular-portal/-/merge_requests/3427", "fix: duplicate api calls on most list pages")</f>
        <v/>
      </c>
      <c r="G550" t="inlineStr">
        <is>
          <t>fix/duplicate-api-calls</t>
        </is>
      </c>
      <c r="H550" t="inlineStr">
        <is>
          <t>sprint-17</t>
        </is>
      </c>
      <c r="I550" t="inlineStr">
        <is>
          <t>merged</t>
        </is>
      </c>
      <c r="J550" t="inlineStr">
        <is>
          <t>394165310ab183edc698b35be90f91333429b78b</t>
        </is>
      </c>
      <c r="K550">
        <f>HYPERLINK("http://gitlab.osmosys.co/incident-reporter/incident-reporter-angular-portal/-/merge_requests/3427#note_237562", "![Screen_Recording_2025-07-16_150118](/uploads/a1723ea893724592b0377ff6158aaf87/Screen_Recording_2025-07-16_150118.mp4)
Check the recording please")</f>
        <v/>
      </c>
      <c r="L550" t="inlineStr">
        <is>
          <t>2025-07-16 15:02:29.440 IST</t>
        </is>
      </c>
      <c r="M550" t="inlineStr">
        <is>
          <t>Aditya Chakraborty</t>
        </is>
      </c>
      <c r="N550" t="inlineStr">
        <is>
          <t>No</t>
        </is>
      </c>
      <c r="O550" t="inlineStr">
        <is>
          <t>Yes</t>
        </is>
      </c>
      <c r="P550" t="inlineStr">
        <is>
          <t>Soundariya B</t>
        </is>
      </c>
      <c r="Q550" t="inlineStr">
        <is>
          <t>Neutral</t>
        </is>
      </c>
    </row>
    <row r="551">
      <c r="A551" t="inlineStr">
        <is>
          <t>aditya.c</t>
        </is>
      </c>
      <c r="B551" t="inlineStr">
        <is>
          <t>Aditya Chakraborty</t>
        </is>
      </c>
      <c r="C551" t="inlineStr">
        <is>
          <t>aditya.c@osmosys.co</t>
        </is>
      </c>
      <c r="D551" t="inlineStr">
        <is>
          <t>incident-reporter</t>
        </is>
      </c>
      <c r="E551">
        <f>HYPERLINK("http://gitlab.osmosys.co/incident-reporter/incident-reporter-angular-portal", "OQSHA Portal")</f>
        <v/>
      </c>
      <c r="F551">
        <f>HYPERLINK("http://gitlab.osmosys.co/incident-reporter/incident-reporter-angular-portal/-/merge_requests/3427", "fix: duplicate api calls on most list pages")</f>
        <v/>
      </c>
      <c r="G551" t="inlineStr">
        <is>
          <t>fix/duplicate-api-calls</t>
        </is>
      </c>
      <c r="H551" t="inlineStr">
        <is>
          <t>sprint-17</t>
        </is>
      </c>
      <c r="I551" t="inlineStr">
        <is>
          <t>merged</t>
        </is>
      </c>
      <c r="J551" t="inlineStr">
        <is>
          <t>780c096dfd2a603a4878e3794dda1cca21d5f1e7</t>
        </is>
      </c>
      <c r="K551">
        <f>HYPERLINK("http://gitlab.osmosys.co/incident-reporter/incident-reporter-angular-portal/-/merge_requests/3427#note_237476", "Don't use $ like jquery here")</f>
        <v/>
      </c>
      <c r="L551" t="inlineStr">
        <is>
          <t>2025-07-16 13:43:48.313 IST</t>
        </is>
      </c>
      <c r="M551" t="inlineStr">
        <is>
          <t>Soundariya B</t>
        </is>
      </c>
      <c r="N551" t="inlineStr">
        <is>
          <t>Yes</t>
        </is>
      </c>
      <c r="O551" t="inlineStr">
        <is>
          <t>Yes</t>
        </is>
      </c>
      <c r="P551" t="inlineStr">
        <is>
          <t>Soundariya B</t>
        </is>
      </c>
      <c r="Q551" t="inlineStr">
        <is>
          <t>Bad</t>
        </is>
      </c>
    </row>
    <row r="552">
      <c r="A552" t="inlineStr">
        <is>
          <t>aditya.c</t>
        </is>
      </c>
      <c r="B552" t="inlineStr">
        <is>
          <t>Aditya Chakraborty</t>
        </is>
      </c>
      <c r="C552" t="inlineStr">
        <is>
          <t>aditya.c@osmosys.co</t>
        </is>
      </c>
      <c r="D552" t="inlineStr">
        <is>
          <t>incident-reporter</t>
        </is>
      </c>
      <c r="E552">
        <f>HYPERLINK("http://gitlab.osmosys.co/incident-reporter/incident-reporter-angular-portal", "OQSHA Portal")</f>
        <v/>
      </c>
      <c r="F552">
        <f>HYPERLINK("http://gitlab.osmosys.co/incident-reporter/incident-reporter-angular-portal/-/merge_requests/3427", "fix: duplicate api calls on most list pages")</f>
        <v/>
      </c>
      <c r="G552" t="inlineStr">
        <is>
          <t>fix/duplicate-api-calls</t>
        </is>
      </c>
      <c r="H552" t="inlineStr">
        <is>
          <t>sprint-17</t>
        </is>
      </c>
      <c r="I552" t="inlineStr">
        <is>
          <t>merged</t>
        </is>
      </c>
      <c r="J552" t="inlineStr">
        <is>
          <t>9a063b436f1079c2080cee0b0bd7d4f990939769</t>
        </is>
      </c>
      <c r="K552">
        <f>HYPERLINK("http://gitlab.osmosys.co/incident-reporter/incident-reporter-angular-portal/-/merge_requests/3427#note_237477", "Declare data type")</f>
        <v/>
      </c>
      <c r="L552" t="inlineStr">
        <is>
          <t>2025-07-16 13:43:48.399 IST</t>
        </is>
      </c>
      <c r="M552" t="inlineStr">
        <is>
          <t>Soundariya B</t>
        </is>
      </c>
      <c r="N552" t="inlineStr">
        <is>
          <t>Yes</t>
        </is>
      </c>
      <c r="O552" t="inlineStr">
        <is>
          <t>Yes</t>
        </is>
      </c>
      <c r="P552" t="inlineStr">
        <is>
          <t>Soundariya B</t>
        </is>
      </c>
      <c r="Q552" t="inlineStr">
        <is>
          <t>Neutral</t>
        </is>
      </c>
    </row>
    <row r="553">
      <c r="A553" t="inlineStr">
        <is>
          <t>aditya.c</t>
        </is>
      </c>
      <c r="B553" t="inlineStr">
        <is>
          <t>Aditya Chakraborty</t>
        </is>
      </c>
      <c r="C553" t="inlineStr">
        <is>
          <t>aditya.c@osmosys.co</t>
        </is>
      </c>
      <c r="D553" t="inlineStr">
        <is>
          <t>incident-reporter</t>
        </is>
      </c>
      <c r="E553">
        <f>HYPERLINK("http://gitlab.osmosys.co/incident-reporter/incident-reporter-angular-portal", "OQSHA Portal")</f>
        <v/>
      </c>
      <c r="F553">
        <f>HYPERLINK("http://gitlab.osmosys.co/incident-reporter/incident-reporter-angular-portal/-/merge_requests/3427", "fix: duplicate api calls on most list pages")</f>
        <v/>
      </c>
      <c r="G553" t="inlineStr">
        <is>
          <t>fix/duplicate-api-calls</t>
        </is>
      </c>
      <c r="H553" t="inlineStr">
        <is>
          <t>sprint-17</t>
        </is>
      </c>
      <c r="I553" t="inlineStr">
        <is>
          <t>merged</t>
        </is>
      </c>
      <c r="J553" t="inlineStr">
        <is>
          <t>9a063b436f1079c2080cee0b0bd7d4f990939769</t>
        </is>
      </c>
      <c r="K553">
        <f>HYPERLINK("http://gitlab.osmosys.co/incident-reporter/incident-reporter-angular-portal/-/merge_requests/3427#note_237566", "![image](/uploads/eeb0dcf28ba6f39f897817b0564f4d08/image.png){width=696 height=186}
![image](/uploads/b0d882bd1b1a926214b38f400eba0aa8/image.png){width=706 height=190}
![image](/uploads/635886431ec9040271e8320c11c6cead/image.png){width=622 height=225}
Please excuse this, because I do not know what type to assign to `triggerTimeout`")</f>
        <v/>
      </c>
      <c r="L553" t="inlineStr">
        <is>
          <t>2025-07-16 15:09:45.340 IST</t>
        </is>
      </c>
      <c r="M553" t="inlineStr">
        <is>
          <t>Aditya Chakraborty</t>
        </is>
      </c>
      <c r="N553" t="inlineStr">
        <is>
          <t>No</t>
        </is>
      </c>
      <c r="O553" t="inlineStr">
        <is>
          <t>Yes</t>
        </is>
      </c>
      <c r="P553" t="inlineStr">
        <is>
          <t>Soundariya B</t>
        </is>
      </c>
      <c r="Q553" t="inlineStr">
        <is>
          <t>Neutral</t>
        </is>
      </c>
    </row>
    <row r="554">
      <c r="A554" t="inlineStr">
        <is>
          <t>aditya.c</t>
        </is>
      </c>
      <c r="B554" t="inlineStr">
        <is>
          <t>Aditya Chakraborty</t>
        </is>
      </c>
      <c r="C554" t="inlineStr">
        <is>
          <t>aditya.c@osmosys.co</t>
        </is>
      </c>
      <c r="D554" t="inlineStr">
        <is>
          <t>incident-reporter</t>
        </is>
      </c>
      <c r="E554">
        <f>HYPERLINK("http://gitlab.osmosys.co/incident-reporter/incident-reporter-angular-portal", "OQSHA Portal")</f>
        <v/>
      </c>
      <c r="F554">
        <f>HYPERLINK("http://gitlab.osmosys.co/incident-reporter/incident-reporter-angular-portal/-/merge_requests/3427", "fix: duplicate api calls on most list pages")</f>
        <v/>
      </c>
      <c r="G554" t="inlineStr">
        <is>
          <t>fix/duplicate-api-calls</t>
        </is>
      </c>
      <c r="H554" t="inlineStr">
        <is>
          <t>sprint-17</t>
        </is>
      </c>
      <c r="I554" t="inlineStr">
        <is>
          <t>merged</t>
        </is>
      </c>
      <c r="J554" t="inlineStr">
        <is>
          <t>c79cee9c25b143451d8d660ff9fb693e7b975ed0</t>
        </is>
      </c>
      <c r="K554">
        <f>HYPERLINK("http://gitlab.osmosys.co/incident-reporter/incident-reporter-angular-portal/-/merge_requests/3427#note_237478", "Don't use $ like jquery here")</f>
        <v/>
      </c>
      <c r="L554" t="inlineStr">
        <is>
          <t>2025-07-16 13:43:48.473 IST</t>
        </is>
      </c>
      <c r="M554" t="inlineStr">
        <is>
          <t>Soundariya B</t>
        </is>
      </c>
      <c r="N554" t="inlineStr">
        <is>
          <t>Yes</t>
        </is>
      </c>
      <c r="O554" t="inlineStr">
        <is>
          <t>Yes</t>
        </is>
      </c>
      <c r="P554" t="inlineStr">
        <is>
          <t>Soundariya B</t>
        </is>
      </c>
      <c r="Q554" t="inlineStr">
        <is>
          <t>Bad</t>
        </is>
      </c>
    </row>
    <row r="555">
      <c r="A555" t="inlineStr">
        <is>
          <t>aditya.c</t>
        </is>
      </c>
      <c r="B555" t="inlineStr">
        <is>
          <t>Aditya Chakraborty</t>
        </is>
      </c>
      <c r="C555" t="inlineStr">
        <is>
          <t>aditya.c@osmosys.co</t>
        </is>
      </c>
      <c r="D555" t="inlineStr">
        <is>
          <t>incident-reporter</t>
        </is>
      </c>
      <c r="E555">
        <f>HYPERLINK("http://gitlab.osmosys.co/incident-reporter/incident-reporter-angular-portal", "OQSHA Portal")</f>
        <v/>
      </c>
      <c r="F555">
        <f>HYPERLINK("http://gitlab.osmosys.co/incident-reporter/incident-reporter-angular-portal/-/merge_requests/3427", "fix: duplicate api calls on most list pages")</f>
        <v/>
      </c>
      <c r="G555" t="inlineStr">
        <is>
          <t>fix/duplicate-api-calls</t>
        </is>
      </c>
      <c r="H555" t="inlineStr">
        <is>
          <t>sprint-17</t>
        </is>
      </c>
      <c r="I555" t="inlineStr">
        <is>
          <t>merged</t>
        </is>
      </c>
      <c r="J555" t="inlineStr">
        <is>
          <t>c8b1b1fa6bba94976ba9d62be049e421f58a5172</t>
        </is>
      </c>
      <c r="K555">
        <f>HYPERLINK("http://gitlab.osmosys.co/incident-reporter/incident-reporter-angular-portal/-/merge_requests/3427#note_237479", "The data table and api call finish time is fixed? if not they I would not suggest to use the setTimeout for this")</f>
        <v/>
      </c>
      <c r="L555" t="inlineStr">
        <is>
          <t>2025-07-16 13:43:48.540 IST</t>
        </is>
      </c>
      <c r="M555" t="inlineStr">
        <is>
          <t>Soundariya B</t>
        </is>
      </c>
      <c r="N555" t="inlineStr">
        <is>
          <t>Yes</t>
        </is>
      </c>
      <c r="O555" t="inlineStr">
        <is>
          <t>Yes</t>
        </is>
      </c>
      <c r="P555" t="inlineStr">
        <is>
          <t>Soundariya B</t>
        </is>
      </c>
      <c r="Q555" t="inlineStr">
        <is>
          <t>Bad</t>
        </is>
      </c>
    </row>
    <row r="556">
      <c r="A556" t="inlineStr">
        <is>
          <t>aditya.c</t>
        </is>
      </c>
      <c r="B556" t="inlineStr">
        <is>
          <t>Aditya Chakraborty</t>
        </is>
      </c>
      <c r="C556" t="inlineStr">
        <is>
          <t>aditya.c@osmosys.co</t>
        </is>
      </c>
      <c r="D556" t="inlineStr">
        <is>
          <t>incident-reporter</t>
        </is>
      </c>
      <c r="E556">
        <f>HYPERLINK("http://gitlab.osmosys.co/incident-reporter/incident-reporter-angular-portal", "OQSHA Portal")</f>
        <v/>
      </c>
      <c r="F556">
        <f>HYPERLINK("http://gitlab.osmosys.co/incident-reporter/incident-reporter-angular-portal/-/merge_requests/3427", "fix: duplicate api calls on most list pages")</f>
        <v/>
      </c>
      <c r="G556" t="inlineStr">
        <is>
          <t>fix/duplicate-api-calls</t>
        </is>
      </c>
      <c r="H556" t="inlineStr">
        <is>
          <t>sprint-17</t>
        </is>
      </c>
      <c r="I556" t="inlineStr">
        <is>
          <t>merged</t>
        </is>
      </c>
      <c r="J556" t="inlineStr">
        <is>
          <t>c8b1b1fa6bba94976ba9d62be049e421f58a5172</t>
        </is>
      </c>
      <c r="K556">
        <f>HYPERLINK("http://gitlab.osmosys.co/incident-reporter/incident-reporter-angular-portal/-/merge_requests/3427#note_237574", "![image](/uploads/5f56465e13d42c5447133e57e4e6cc25/image.png){width=1209 height=719}
It is used everywhere with different times - I took 200 randomly, I can use 100 as well but I need the setTimeout")</f>
        <v/>
      </c>
      <c r="L556" t="inlineStr">
        <is>
          <t>2025-07-16 15:12:40.897 IST</t>
        </is>
      </c>
      <c r="M556" t="inlineStr">
        <is>
          <t>Aditya Chakraborty</t>
        </is>
      </c>
      <c r="N556" t="inlineStr">
        <is>
          <t>No</t>
        </is>
      </c>
      <c r="O556" t="inlineStr">
        <is>
          <t>Yes</t>
        </is>
      </c>
      <c r="P556" t="inlineStr">
        <is>
          <t>Soundariya B</t>
        </is>
      </c>
      <c r="Q556" t="inlineStr">
        <is>
          <t>Bad</t>
        </is>
      </c>
    </row>
    <row r="557">
      <c r="A557" t="inlineStr">
        <is>
          <t>aditya.c</t>
        </is>
      </c>
      <c r="B557" t="inlineStr">
        <is>
          <t>Aditya Chakraborty</t>
        </is>
      </c>
      <c r="C557" t="inlineStr">
        <is>
          <t>aditya.c@osmosys.co</t>
        </is>
      </c>
      <c r="D557" t="inlineStr">
        <is>
          <t>incident-reporter</t>
        </is>
      </c>
      <c r="E557">
        <f>HYPERLINK("http://gitlab.osmosys.co/incident-reporter/incident-reporter-angular-portal", "OQSHA Portal")</f>
        <v/>
      </c>
      <c r="F557">
        <f>HYPERLINK("http://gitlab.osmosys.co/incident-reporter/incident-reporter-angular-portal/-/merge_requests/3427", "fix: duplicate api calls on most list pages")</f>
        <v/>
      </c>
      <c r="G557" t="inlineStr">
        <is>
          <t>fix/duplicate-api-calls</t>
        </is>
      </c>
      <c r="H557" t="inlineStr">
        <is>
          <t>sprint-17</t>
        </is>
      </c>
      <c r="I557" t="inlineStr">
        <is>
          <t>merged</t>
        </is>
      </c>
      <c r="J557" t="inlineStr">
        <is>
          <t>d6f84d9a5d52e55961a4ec36dde88efd69b96fc7</t>
        </is>
      </c>
      <c r="K557">
        <f>HYPERLINK("http://gitlab.osmosys.co/incident-reporter/incident-reporter-angular-portal/-/merge_requests/3427#note_237480", "Bad indentiation")</f>
        <v/>
      </c>
      <c r="L557" t="inlineStr">
        <is>
          <t>2025-07-16 13:43:48.605 IST</t>
        </is>
      </c>
      <c r="M557" t="inlineStr">
        <is>
          <t>Soundariya B</t>
        </is>
      </c>
      <c r="N557" t="inlineStr">
        <is>
          <t>Yes</t>
        </is>
      </c>
      <c r="O557" t="inlineStr">
        <is>
          <t>Yes</t>
        </is>
      </c>
      <c r="P557" t="inlineStr">
        <is>
          <t>Soundariya B</t>
        </is>
      </c>
      <c r="Q557" t="inlineStr">
        <is>
          <t>Bad</t>
        </is>
      </c>
    </row>
    <row r="558">
      <c r="A558" t="inlineStr">
        <is>
          <t>aditya.c</t>
        </is>
      </c>
      <c r="B558" t="inlineStr">
        <is>
          <t>Aditya Chakraborty</t>
        </is>
      </c>
      <c r="C558" t="inlineStr">
        <is>
          <t>aditya.c@osmosys.co</t>
        </is>
      </c>
      <c r="D558" t="inlineStr">
        <is>
          <t>incident-reporter</t>
        </is>
      </c>
      <c r="E558">
        <f>HYPERLINK("http://gitlab.osmosys.co/incident-reporter/incident-reporter-angular-portal", "OQSHA Portal")</f>
        <v/>
      </c>
      <c r="F558">
        <f>HYPERLINK("http://gitlab.osmosys.co/incident-reporter/incident-reporter-angular-portal/-/merge_requests/3427", "fix: duplicate api calls on most list pages")</f>
        <v/>
      </c>
      <c r="G558" t="inlineStr">
        <is>
          <t>fix/duplicate-api-calls</t>
        </is>
      </c>
      <c r="H558" t="inlineStr">
        <is>
          <t>sprint-17</t>
        </is>
      </c>
      <c r="I558" t="inlineStr">
        <is>
          <t>merged</t>
        </is>
      </c>
      <c r="J558" t="inlineStr">
        <is>
          <t>b536ddf0fd376af9877aa71468f92be341ea5642</t>
        </is>
      </c>
      <c r="K558">
        <f>HYPERLINK("http://gitlab.osmosys.co/incident-reporter/incident-reporter-angular-portal/-/merge_requests/3427#note_237481", "All these logics will be done in 100 ms even in slow network?")</f>
        <v/>
      </c>
      <c r="L558" t="inlineStr">
        <is>
          <t>2025-07-16 13:43:48.678 IST</t>
        </is>
      </c>
      <c r="M558" t="inlineStr">
        <is>
          <t>Soundariya B</t>
        </is>
      </c>
      <c r="N558" t="inlineStr">
        <is>
          <t>Yes</t>
        </is>
      </c>
      <c r="O558" t="inlineStr">
        <is>
          <t>Yes</t>
        </is>
      </c>
      <c r="P558" t="inlineStr">
        <is>
          <t>Soundariya B</t>
        </is>
      </c>
      <c r="Q558" t="inlineStr">
        <is>
          <t>Bad</t>
        </is>
      </c>
    </row>
    <row r="559">
      <c r="A559" t="inlineStr">
        <is>
          <t>aditya.c</t>
        </is>
      </c>
      <c r="B559" t="inlineStr">
        <is>
          <t>Aditya Chakraborty</t>
        </is>
      </c>
      <c r="C559" t="inlineStr">
        <is>
          <t>aditya.c@osmosys.co</t>
        </is>
      </c>
      <c r="D559" t="inlineStr">
        <is>
          <t>incident-reporter</t>
        </is>
      </c>
      <c r="E559">
        <f>HYPERLINK("http://gitlab.osmosys.co/incident-reporter/incident-reporter-angular-portal", "OQSHA Portal")</f>
        <v/>
      </c>
      <c r="F559">
        <f>HYPERLINK("http://gitlab.osmosys.co/incident-reporter/incident-reporter-angular-portal/-/merge_requests/3427", "fix: duplicate api calls on most list pages")</f>
        <v/>
      </c>
      <c r="G559" t="inlineStr">
        <is>
          <t>fix/duplicate-api-calls</t>
        </is>
      </c>
      <c r="H559" t="inlineStr">
        <is>
          <t>sprint-17</t>
        </is>
      </c>
      <c r="I559" t="inlineStr">
        <is>
          <t>merged</t>
        </is>
      </c>
      <c r="J559" t="inlineStr">
        <is>
          <t>b536ddf0fd376af9877aa71468f92be341ea5642</t>
        </is>
      </c>
      <c r="K559">
        <f>HYPERLINK("http://gitlab.osmosys.co/incident-reporter/incident-reporter-angular-portal/-/merge_requests/3427#note_237576", "![image](/uploads/209fc3f41f6d661f13fa130cb7d7f06f/image.png)
It is used in a lot of places - for slower networks we have to test later, but it works currently")</f>
        <v/>
      </c>
      <c r="L559" t="inlineStr">
        <is>
          <t>2025-07-16 15:13:37.847 IST</t>
        </is>
      </c>
      <c r="M559" t="inlineStr">
        <is>
          <t>Aditya Chakraborty</t>
        </is>
      </c>
      <c r="N559" t="inlineStr">
        <is>
          <t>No</t>
        </is>
      </c>
      <c r="O559" t="inlineStr">
        <is>
          <t>Yes</t>
        </is>
      </c>
      <c r="P559" t="inlineStr">
        <is>
          <t>Soundariya B</t>
        </is>
      </c>
      <c r="Q559" t="inlineStr">
        <is>
          <t>Bad</t>
        </is>
      </c>
    </row>
    <row r="560">
      <c r="A560" t="inlineStr">
        <is>
          <t>aditya.c</t>
        </is>
      </c>
      <c r="B560" t="inlineStr">
        <is>
          <t>Aditya Chakraborty</t>
        </is>
      </c>
      <c r="C560" t="inlineStr">
        <is>
          <t>aditya.c@osmosys.co</t>
        </is>
      </c>
      <c r="D560" t="inlineStr">
        <is>
          <t>incident-reporter</t>
        </is>
      </c>
      <c r="E560">
        <f>HYPERLINK("http://gitlab.osmosys.co/incident-reporter/incident-reporter-angular-portal", "OQSHA Portal")</f>
        <v/>
      </c>
      <c r="F560">
        <f>HYPERLINK("http://gitlab.osmosys.co/incident-reporter/incident-reporter-angular-portal/-/merge_requests/3427", "fix: duplicate api calls on most list pages")</f>
        <v/>
      </c>
      <c r="G560" t="inlineStr">
        <is>
          <t>fix/duplicate-api-calls</t>
        </is>
      </c>
      <c r="H560" t="inlineStr">
        <is>
          <t>sprint-17</t>
        </is>
      </c>
      <c r="I560" t="inlineStr">
        <is>
          <t>merged</t>
        </is>
      </c>
      <c r="J560" t="inlineStr">
        <is>
          <t>01d6cf0ca29324ab8ebb62dcf048e17885d12bf4</t>
        </is>
      </c>
      <c r="K560">
        <f>HYPERLINK("http://gitlab.osmosys.co/incident-reporter/incident-reporter-angular-portal/-/merge_requests/3427#note_237482", "Remove the comment as its understandable")</f>
        <v/>
      </c>
      <c r="L560" t="inlineStr">
        <is>
          <t>2025-07-16 13:43:48.762 IST</t>
        </is>
      </c>
      <c r="M560" t="inlineStr">
        <is>
          <t>Soundariya B</t>
        </is>
      </c>
      <c r="N560" t="inlineStr">
        <is>
          <t>Yes</t>
        </is>
      </c>
      <c r="O560" t="inlineStr">
        <is>
          <t>Yes</t>
        </is>
      </c>
      <c r="P560" t="inlineStr">
        <is>
          <t>Soundariya B</t>
        </is>
      </c>
      <c r="Q560" t="inlineStr">
        <is>
          <t>Bad</t>
        </is>
      </c>
    </row>
    <row r="561">
      <c r="A561" t="inlineStr">
        <is>
          <t>aditya.c</t>
        </is>
      </c>
      <c r="B561" t="inlineStr">
        <is>
          <t>Aditya Chakraborty</t>
        </is>
      </c>
      <c r="C561" t="inlineStr">
        <is>
          <t>aditya.c@osmosys.co</t>
        </is>
      </c>
      <c r="D561" t="inlineStr">
        <is>
          <t>incident-reporter</t>
        </is>
      </c>
      <c r="E561">
        <f>HYPERLINK("http://gitlab.osmosys.co/incident-reporter/incident-reporter-angular-portal", "OQSHA Portal")</f>
        <v/>
      </c>
      <c r="F561">
        <f>HYPERLINK("http://gitlab.osmosys.co/incident-reporter/incident-reporter-angular-portal/-/merge_requests/3427", "fix: duplicate api calls on most list pages")</f>
        <v/>
      </c>
      <c r="G561" t="inlineStr">
        <is>
          <t>fix/duplicate-api-calls</t>
        </is>
      </c>
      <c r="H561" t="inlineStr">
        <is>
          <t>sprint-17</t>
        </is>
      </c>
      <c r="I561" t="inlineStr">
        <is>
          <t>merged</t>
        </is>
      </c>
      <c r="J561" t="inlineStr">
        <is>
          <t>c1c2e595cd0ef3d4cabc0731db643191141ee6c5</t>
        </is>
      </c>
      <c r="K561">
        <f>HYPERLINK("http://gitlab.osmosys.co/incident-reporter/incident-reporter-angular-portal/-/merge_requests/3427#note_237483", "Remove this")</f>
        <v/>
      </c>
      <c r="L561" t="inlineStr">
        <is>
          <t>2025-07-16 13:43:48.822 IST</t>
        </is>
      </c>
      <c r="M561" t="inlineStr">
        <is>
          <t>Soundariya B</t>
        </is>
      </c>
      <c r="N561" t="inlineStr">
        <is>
          <t>Yes</t>
        </is>
      </c>
      <c r="O561" t="inlineStr">
        <is>
          <t>Yes</t>
        </is>
      </c>
      <c r="P561" t="inlineStr">
        <is>
          <t>Soundariya B</t>
        </is>
      </c>
      <c r="Q561" t="inlineStr">
        <is>
          <t>Bad</t>
        </is>
      </c>
    </row>
    <row r="562">
      <c r="A562" t="inlineStr">
        <is>
          <t>aditya.c</t>
        </is>
      </c>
      <c r="B562" t="inlineStr">
        <is>
          <t>Aditya Chakraborty</t>
        </is>
      </c>
      <c r="C562" t="inlineStr">
        <is>
          <t>aditya.c@osmosys.co</t>
        </is>
      </c>
      <c r="D562" t="inlineStr">
        <is>
          <t>incident-reporter</t>
        </is>
      </c>
      <c r="E562">
        <f>HYPERLINK("http://gitlab.osmosys.co/incident-reporter/incident-reporter-angular-portal", "OQSHA Portal")</f>
        <v/>
      </c>
      <c r="F562">
        <f>HYPERLINK("http://gitlab.osmosys.co/incident-reporter/incident-reporter-angular-portal/-/merge_requests/3427", "fix: duplicate api calls on most list pages")</f>
        <v/>
      </c>
      <c r="G562" t="inlineStr">
        <is>
          <t>fix/duplicate-api-calls</t>
        </is>
      </c>
      <c r="H562" t="inlineStr">
        <is>
          <t>sprint-17</t>
        </is>
      </c>
      <c r="I562" t="inlineStr">
        <is>
          <t>merged</t>
        </is>
      </c>
      <c r="J562" t="inlineStr">
        <is>
          <t>5ee9cf2b1bfd5c282694dc6577797b2dfafef565</t>
        </is>
      </c>
      <c r="K562">
        <f>HYPERLINK("http://gitlab.osmosys.co/incident-reporter/incident-reporter-angular-portal/-/merge_requests/3427#note_237484", "You can add the code like this
```
const { fromDate, toDate } = pssrPreferences ?? {};
this.selectedFromDate = fromDate ? new Date(fromDate) : currentDate;
this.selectedToDate = toDate ? new Date(toDate) : currentDate;
```")</f>
        <v/>
      </c>
      <c r="L562" t="inlineStr">
        <is>
          <t>2025-07-16 13:43:48.886 IST</t>
        </is>
      </c>
      <c r="M562" t="inlineStr">
        <is>
          <t>Soundariya B</t>
        </is>
      </c>
      <c r="N562" t="inlineStr">
        <is>
          <t>Yes</t>
        </is>
      </c>
      <c r="O562" t="inlineStr">
        <is>
          <t>Yes</t>
        </is>
      </c>
      <c r="P562" t="inlineStr">
        <is>
          <t>Soundariya B</t>
        </is>
      </c>
      <c r="Q562" t="inlineStr">
        <is>
          <t>Bad</t>
        </is>
      </c>
    </row>
    <row r="563">
      <c r="A563" t="inlineStr">
        <is>
          <t>aditya.c</t>
        </is>
      </c>
      <c r="B563" t="inlineStr">
        <is>
          <t>Aditya Chakraborty</t>
        </is>
      </c>
      <c r="C563" t="inlineStr">
        <is>
          <t>aditya.c@osmosys.co</t>
        </is>
      </c>
      <c r="D563" t="inlineStr">
        <is>
          <t>incident-reporter</t>
        </is>
      </c>
      <c r="E563">
        <f>HYPERLINK("http://gitlab.osmosys.co/incident-reporter/incident-reporter-angular-portal", "OQSHA Portal")</f>
        <v/>
      </c>
      <c r="F563">
        <f>HYPERLINK("http://gitlab.osmosys.co/incident-reporter/incident-reporter-angular-portal/-/merge_requests/3427", "fix: duplicate api calls on most list pages")</f>
        <v/>
      </c>
      <c r="G563" t="inlineStr">
        <is>
          <t>fix/duplicate-api-calls</t>
        </is>
      </c>
      <c r="H563" t="inlineStr">
        <is>
          <t>sprint-17</t>
        </is>
      </c>
      <c r="I563" t="inlineStr">
        <is>
          <t>merged</t>
        </is>
      </c>
      <c r="J563" t="inlineStr">
        <is>
          <t>557496d453d6f79ecf135f082c347ba8cce48577</t>
        </is>
      </c>
      <c r="K563">
        <f>HYPERLINK("http://gitlab.osmosys.co/incident-reporter/incident-reporter-angular-portal/-/merge_requests/3427#note_237485", "Remove this")</f>
        <v/>
      </c>
      <c r="L563" t="inlineStr">
        <is>
          <t>2025-07-16 13:43:48.950 IST</t>
        </is>
      </c>
      <c r="M563" t="inlineStr">
        <is>
          <t>Soundariya B</t>
        </is>
      </c>
      <c r="N563" t="inlineStr">
        <is>
          <t>Yes</t>
        </is>
      </c>
      <c r="O563" t="inlineStr">
        <is>
          <t>Yes</t>
        </is>
      </c>
      <c r="P563" t="inlineStr">
        <is>
          <t>Soundariya B</t>
        </is>
      </c>
      <c r="Q563" t="inlineStr">
        <is>
          <t>Bad</t>
        </is>
      </c>
    </row>
    <row r="564">
      <c r="A564" t="inlineStr">
        <is>
          <t>aditya.c</t>
        </is>
      </c>
      <c r="B564" t="inlineStr">
        <is>
          <t>Aditya Chakraborty</t>
        </is>
      </c>
      <c r="C564" t="inlineStr">
        <is>
          <t>aditya.c@osmosys.co</t>
        </is>
      </c>
      <c r="D564" t="inlineStr">
        <is>
          <t>incident-reporter</t>
        </is>
      </c>
      <c r="E564">
        <f>HYPERLINK("http://gitlab.osmosys.co/incident-reporter/incident-reporter-angular-portal", "OQSHA Portal")</f>
        <v/>
      </c>
      <c r="F564">
        <f>HYPERLINK("http://gitlab.osmosys.co/incident-reporter/incident-reporter-angular-portal/-/merge_requests/3427", "fix: duplicate api calls on most list pages")</f>
        <v/>
      </c>
      <c r="G564" t="inlineStr">
        <is>
          <t>fix/duplicate-api-calls</t>
        </is>
      </c>
      <c r="H564" t="inlineStr">
        <is>
          <t>sprint-17</t>
        </is>
      </c>
      <c r="I564" t="inlineStr">
        <is>
          <t>merged</t>
        </is>
      </c>
      <c r="J564" t="inlineStr">
        <is>
          <t>a9e8b59e8a893d4a34689d46b9f00f2acee3907e</t>
        </is>
      </c>
      <c r="K564">
        <f>HYPERLINK("http://gitlab.osmosys.co/incident-reporter/incident-reporter-angular-portal/-/merge_requests/3427#note_237486", "Remove this")</f>
        <v/>
      </c>
      <c r="L564" t="inlineStr">
        <is>
          <t>2025-07-16 13:43:49.030 IST</t>
        </is>
      </c>
      <c r="M564" t="inlineStr">
        <is>
          <t>Soundariya B</t>
        </is>
      </c>
      <c r="N564" t="inlineStr">
        <is>
          <t>Yes</t>
        </is>
      </c>
      <c r="O564" t="inlineStr">
        <is>
          <t>Yes</t>
        </is>
      </c>
      <c r="P564" t="inlineStr">
        <is>
          <t>Soundariya B</t>
        </is>
      </c>
      <c r="Q564" t="inlineStr">
        <is>
          <t>Bad</t>
        </is>
      </c>
    </row>
    <row r="565">
      <c r="A565" t="inlineStr">
        <is>
          <t>aditya.c</t>
        </is>
      </c>
      <c r="B565" t="inlineStr">
        <is>
          <t>Aditya Chakraborty</t>
        </is>
      </c>
      <c r="C565" t="inlineStr">
        <is>
          <t>aditya.c@osmosys.co</t>
        </is>
      </c>
      <c r="D565" t="inlineStr">
        <is>
          <t>incident-reporter</t>
        </is>
      </c>
      <c r="E565">
        <f>HYPERLINK("http://gitlab.osmosys.co/incident-reporter/incident-reporter-angular-portal", "OQSHA Portal")</f>
        <v/>
      </c>
      <c r="F565">
        <f>HYPERLINK("http://gitlab.osmosys.co/incident-reporter/incident-reporter-angular-portal/-/merge_requests/3427", "fix: duplicate api calls on most list pages")</f>
        <v/>
      </c>
      <c r="G565" t="inlineStr">
        <is>
          <t>fix/duplicate-api-calls</t>
        </is>
      </c>
      <c r="H565" t="inlineStr">
        <is>
          <t>sprint-17</t>
        </is>
      </c>
      <c r="I565" t="inlineStr">
        <is>
          <t>merged</t>
        </is>
      </c>
      <c r="J565" t="inlineStr">
        <is>
          <t>a9e8b59e8a893d4a34689d46b9f00f2acee3907e</t>
        </is>
      </c>
      <c r="K565">
        <f>HYPERLINK("http://gitlab.osmosys.co/incident-reporter/incident-reporter-angular-portal/-/merge_requests/3427#note_237577", "users.component.ts is an old and critical component - removing and resolving the lints might cause bugs
Need a separate task for this")</f>
        <v/>
      </c>
      <c r="L565" t="inlineStr">
        <is>
          <t>2025-07-16 15:15:31.217 IST</t>
        </is>
      </c>
      <c r="M565" t="inlineStr">
        <is>
          <t>Aditya Chakraborty</t>
        </is>
      </c>
      <c r="N565" t="inlineStr">
        <is>
          <t>No</t>
        </is>
      </c>
      <c r="O565" t="inlineStr">
        <is>
          <t>Yes</t>
        </is>
      </c>
      <c r="P565" t="inlineStr">
        <is>
          <t>Soundariya B</t>
        </is>
      </c>
      <c r="Q565" t="inlineStr">
        <is>
          <t>Bad</t>
        </is>
      </c>
    </row>
    <row r="566">
      <c r="A566" t="inlineStr">
        <is>
          <t>aditya.c</t>
        </is>
      </c>
      <c r="B566" t="inlineStr">
        <is>
          <t>Aditya Chakraborty</t>
        </is>
      </c>
      <c r="C566" t="inlineStr">
        <is>
          <t>aditya.c@osmosys.co</t>
        </is>
      </c>
      <c r="D566" t="inlineStr">
        <is>
          <t>incident-reporter</t>
        </is>
      </c>
      <c r="E566">
        <f>HYPERLINK("http://gitlab.osmosys.co/incident-reporter/incident-reporter-angular-portal", "OQSHA Portal")</f>
        <v/>
      </c>
      <c r="F566">
        <f>HYPERLINK("http://gitlab.osmosys.co/incident-reporter/incident-reporter-angular-portal/-/merge_requests/3423", "fix: redo edit button functionality in inspections list")</f>
        <v/>
      </c>
      <c r="G566" t="inlineStr">
        <is>
          <t>fix/inspection-edit-btn</t>
        </is>
      </c>
      <c r="H566" t="inlineStr">
        <is>
          <t>sprint-17</t>
        </is>
      </c>
      <c r="I566" t="inlineStr">
        <is>
          <t>merged</t>
        </is>
      </c>
      <c r="J566" t="inlineStr"/>
      <c r="K566" t="inlineStr"/>
      <c r="L566" t="inlineStr"/>
      <c r="M566" t="inlineStr"/>
      <c r="N566" t="inlineStr"/>
      <c r="O566" t="inlineStr"/>
      <c r="P566" t="inlineStr"/>
      <c r="Q566" t="inlineStr"/>
    </row>
    <row r="567">
      <c r="A567" t="inlineStr">
        <is>
          <t>aditya.c</t>
        </is>
      </c>
      <c r="B567" t="inlineStr">
        <is>
          <t>Aditya Chakraborty</t>
        </is>
      </c>
      <c r="C567" t="inlineStr">
        <is>
          <t>aditya.c@osmosys.co</t>
        </is>
      </c>
      <c r="D567" t="inlineStr">
        <is>
          <t>incident-reporter</t>
        </is>
      </c>
      <c r="E567">
        <f>HYPERLINK("http://gitlab.osmosys.co/incident-reporter/incident-reporter-angular-portal", "OQSHA Portal")</f>
        <v/>
      </c>
      <c r="F567">
        <f>HYPERLINK("http://gitlab.osmosys.co/incident-reporter/incident-reporter-angular-portal/-/merge_requests/3422", "fix: make calendar responsive")</f>
        <v/>
      </c>
      <c r="G567" t="inlineStr">
        <is>
          <t>fix/tasks-responsive</t>
        </is>
      </c>
      <c r="H567" t="inlineStr">
        <is>
          <t>sprint-17</t>
        </is>
      </c>
      <c r="I567" t="inlineStr">
        <is>
          <t>merged</t>
        </is>
      </c>
      <c r="J567" t="inlineStr">
        <is>
          <t>924744edd606d90568ee4cd04502908367506d7e</t>
        </is>
      </c>
      <c r="K567">
        <f>HYPERLINK("http://gitlab.osmosys.co/incident-reporter/incident-reporter-angular-portal/-/merge_requests/3422#note_235459", "What is fc here? please improve the classname")</f>
        <v/>
      </c>
      <c r="L567" t="inlineStr">
        <is>
          <t>2025-07-11 18:05:34.875 IST</t>
        </is>
      </c>
      <c r="M567" t="inlineStr">
        <is>
          <t>Soundariya B</t>
        </is>
      </c>
      <c r="N567" t="inlineStr">
        <is>
          <t>Yes</t>
        </is>
      </c>
      <c r="O567" t="inlineStr">
        <is>
          <t>Yes</t>
        </is>
      </c>
      <c r="P567" t="inlineStr">
        <is>
          <t>Soundariya B</t>
        </is>
      </c>
      <c r="Q567" t="inlineStr">
        <is>
          <t>Neutral</t>
        </is>
      </c>
    </row>
    <row r="568">
      <c r="A568" t="inlineStr">
        <is>
          <t>aditya.c</t>
        </is>
      </c>
      <c r="B568" t="inlineStr">
        <is>
          <t>Aditya Chakraborty</t>
        </is>
      </c>
      <c r="C568" t="inlineStr">
        <is>
          <t>aditya.c@osmosys.co</t>
        </is>
      </c>
      <c r="D568" t="inlineStr">
        <is>
          <t>incident-reporter</t>
        </is>
      </c>
      <c r="E568">
        <f>HYPERLINK("http://gitlab.osmosys.co/incident-reporter/incident-reporter-angular-portal", "OQSHA Portal")</f>
        <v/>
      </c>
      <c r="F568">
        <f>HYPERLINK("http://gitlab.osmosys.co/incident-reporter/incident-reporter-angular-portal/-/merge_requests/3422", "fix: make calendar responsive")</f>
        <v/>
      </c>
      <c r="G568" t="inlineStr">
        <is>
          <t>fix/tasks-responsive</t>
        </is>
      </c>
      <c r="H568" t="inlineStr">
        <is>
          <t>sprint-17</t>
        </is>
      </c>
      <c r="I568" t="inlineStr">
        <is>
          <t>merged</t>
        </is>
      </c>
      <c r="J568" t="inlineStr">
        <is>
          <t>924744edd606d90568ee4cd04502908367506d7e</t>
        </is>
      </c>
      <c r="K568">
        <f>HYPERLINK("http://gitlab.osmosys.co/incident-reporter/incident-reporter-angular-portal/-/merge_requests/3422#note_236075", "these are default classnames of the calendar module")</f>
        <v/>
      </c>
      <c r="L568" t="inlineStr">
        <is>
          <t>2025-07-14 15:00:58.473 IST</t>
        </is>
      </c>
      <c r="M568" t="inlineStr">
        <is>
          <t>Aditya Chakraborty</t>
        </is>
      </c>
      <c r="N568" t="inlineStr">
        <is>
          <t>No</t>
        </is>
      </c>
      <c r="O568" t="inlineStr">
        <is>
          <t>Yes</t>
        </is>
      </c>
      <c r="P568" t="inlineStr">
        <is>
          <t>Soundariya B</t>
        </is>
      </c>
      <c r="Q568" t="inlineStr">
        <is>
          <t>Neutral</t>
        </is>
      </c>
    </row>
    <row r="569">
      <c r="A569" t="inlineStr">
        <is>
          <t>aditya.c</t>
        </is>
      </c>
      <c r="B569" t="inlineStr">
        <is>
          <t>Aditya Chakraborty</t>
        </is>
      </c>
      <c r="C569" t="inlineStr">
        <is>
          <t>aditya.c@osmosys.co</t>
        </is>
      </c>
      <c r="D569" t="inlineStr">
        <is>
          <t>incident-reporter</t>
        </is>
      </c>
      <c r="E569">
        <f>HYPERLINK("http://gitlab.osmosys.co/incident-reporter/incident-reporter-angular-portal", "OQSHA Portal")</f>
        <v/>
      </c>
      <c r="F569">
        <f>HYPERLINK("http://gitlab.osmosys.co/incident-reporter/incident-reporter-angular-portal/-/merge_requests/3422", "fix: make calendar responsive")</f>
        <v/>
      </c>
      <c r="G569" t="inlineStr">
        <is>
          <t>fix/tasks-responsive</t>
        </is>
      </c>
      <c r="H569" t="inlineStr">
        <is>
          <t>sprint-17</t>
        </is>
      </c>
      <c r="I569" t="inlineStr">
        <is>
          <t>merged</t>
        </is>
      </c>
      <c r="J569" t="inlineStr">
        <is>
          <t>596719094a68b36cbd90a2f3e9e43b48d3b87750</t>
        </is>
      </c>
      <c r="K569">
        <f>HYPERLINK("http://gitlab.osmosys.co/incident-reporter/incident-reporter-angular-portal/-/merge_requests/3422#note_235460", "What is fc here? please improve the classname")</f>
        <v/>
      </c>
      <c r="L569" t="inlineStr">
        <is>
          <t>2025-07-11 18:05:34.933 IST</t>
        </is>
      </c>
      <c r="M569" t="inlineStr">
        <is>
          <t>Soundariya B</t>
        </is>
      </c>
      <c r="N569" t="inlineStr">
        <is>
          <t>Yes</t>
        </is>
      </c>
      <c r="O569" t="inlineStr">
        <is>
          <t>Yes</t>
        </is>
      </c>
      <c r="P569" t="inlineStr">
        <is>
          <t>Soundariya B</t>
        </is>
      </c>
      <c r="Q569" t="inlineStr">
        <is>
          <t>Neutral</t>
        </is>
      </c>
    </row>
    <row r="570">
      <c r="A570" t="inlineStr">
        <is>
          <t>aditya.c</t>
        </is>
      </c>
      <c r="B570" t="inlineStr">
        <is>
          <t>Aditya Chakraborty</t>
        </is>
      </c>
      <c r="C570" t="inlineStr">
        <is>
          <t>aditya.c@osmosys.co</t>
        </is>
      </c>
      <c r="D570" t="inlineStr">
        <is>
          <t>incident-reporter</t>
        </is>
      </c>
      <c r="E570">
        <f>HYPERLINK("http://gitlab.osmosys.co/incident-reporter/incident-reporter-angular-portal", "OQSHA Portal")</f>
        <v/>
      </c>
      <c r="F570">
        <f>HYPERLINK("http://gitlab.osmosys.co/incident-reporter/incident-reporter-angular-portal/-/merge_requests/3422", "fix: make calendar responsive")</f>
        <v/>
      </c>
      <c r="G570" t="inlineStr">
        <is>
          <t>fix/tasks-responsive</t>
        </is>
      </c>
      <c r="H570" t="inlineStr">
        <is>
          <t>sprint-17</t>
        </is>
      </c>
      <c r="I570" t="inlineStr">
        <is>
          <t>merged</t>
        </is>
      </c>
      <c r="J570" t="inlineStr">
        <is>
          <t>596719094a68b36cbd90a2f3e9e43b48d3b87750</t>
        </is>
      </c>
      <c r="K570">
        <f>HYPERLINK("http://gitlab.osmosys.co/incident-reporter/incident-reporter-angular-portal/-/merge_requests/3422#note_236076", "these are default classnames of the calendar module")</f>
        <v/>
      </c>
      <c r="L570" t="inlineStr">
        <is>
          <t>2025-07-14 15:01:05.323 IST</t>
        </is>
      </c>
      <c r="M570" t="inlineStr">
        <is>
          <t>Aditya Chakraborty</t>
        </is>
      </c>
      <c r="N570" t="inlineStr">
        <is>
          <t>No</t>
        </is>
      </c>
      <c r="O570" t="inlineStr">
        <is>
          <t>Yes</t>
        </is>
      </c>
      <c r="P570" t="inlineStr">
        <is>
          <t>Soundariya B</t>
        </is>
      </c>
      <c r="Q570" t="inlineStr">
        <is>
          <t>Neutral</t>
        </is>
      </c>
    </row>
    <row r="571">
      <c r="A571" t="inlineStr">
        <is>
          <t>aditya.c</t>
        </is>
      </c>
      <c r="B571" t="inlineStr">
        <is>
          <t>Aditya Chakraborty</t>
        </is>
      </c>
      <c r="C571" t="inlineStr">
        <is>
          <t>aditya.c@osmosys.co</t>
        </is>
      </c>
      <c r="D571" t="inlineStr">
        <is>
          <t>incident-reporter</t>
        </is>
      </c>
      <c r="E571">
        <f>HYPERLINK("http://gitlab.osmosys.co/incident-reporter/incident-reporter-angular-portal", "OQSHA Portal")</f>
        <v/>
      </c>
      <c r="F571">
        <f>HYPERLINK("http://gitlab.osmosys.co/incident-reporter/incident-reporter-angular-portal/-/merge_requests/3422", "fix: make calendar responsive")</f>
        <v/>
      </c>
      <c r="G571" t="inlineStr">
        <is>
          <t>fix/tasks-responsive</t>
        </is>
      </c>
      <c r="H571" t="inlineStr">
        <is>
          <t>sprint-17</t>
        </is>
      </c>
      <c r="I571" t="inlineStr">
        <is>
          <t>merged</t>
        </is>
      </c>
      <c r="J571" t="inlineStr">
        <is>
          <t>de956ef81cf7ee46c6232dc3f3bf87ea2e5537f2</t>
        </is>
      </c>
      <c r="K571">
        <f>HYPERLINK("http://gitlab.osmosys.co/incident-reporter/incident-reporter-angular-portal/-/merge_requests/3422#note_235461", "When the values are not 0, we can use shorthand notation. Another thing is we should not use px when the value is 0.")</f>
        <v/>
      </c>
      <c r="L571" t="inlineStr">
        <is>
          <t>2025-07-11 18:05:35.005 IST</t>
        </is>
      </c>
      <c r="M571" t="inlineStr">
        <is>
          <t>Soundariya B</t>
        </is>
      </c>
      <c r="N571" t="inlineStr">
        <is>
          <t>Yes</t>
        </is>
      </c>
      <c r="O571" t="inlineStr">
        <is>
          <t>Yes</t>
        </is>
      </c>
      <c r="P571" t="inlineStr">
        <is>
          <t>Soundariya B</t>
        </is>
      </c>
      <c r="Q571" t="inlineStr">
        <is>
          <t>Bad</t>
        </is>
      </c>
    </row>
    <row r="572">
      <c r="A572" t="inlineStr">
        <is>
          <t>aditya.c</t>
        </is>
      </c>
      <c r="B572" t="inlineStr">
        <is>
          <t>Aditya Chakraborty</t>
        </is>
      </c>
      <c r="C572" t="inlineStr">
        <is>
          <t>aditya.c@osmosys.co</t>
        </is>
      </c>
      <c r="D572" t="inlineStr">
        <is>
          <t>incident-reporter</t>
        </is>
      </c>
      <c r="E572">
        <f>HYPERLINK("http://gitlab.osmosys.co/incident-reporter/incident-reporter-angular-portal", "OQSHA Portal")</f>
        <v/>
      </c>
      <c r="F572">
        <f>HYPERLINK("http://gitlab.osmosys.co/incident-reporter/incident-reporter-angular-portal/-/merge_requests/3422", "fix: make calendar responsive")</f>
        <v/>
      </c>
      <c r="G572" t="inlineStr">
        <is>
          <t>fix/tasks-responsive</t>
        </is>
      </c>
      <c r="H572" t="inlineStr">
        <is>
          <t>sprint-17</t>
        </is>
      </c>
      <c r="I572" t="inlineStr">
        <is>
          <t>merged</t>
        </is>
      </c>
      <c r="J572" t="inlineStr">
        <is>
          <t>de956ef81cf7ee46c6232dc3f3bf87ea2e5537f2</t>
        </is>
      </c>
      <c r="K572">
        <f>HYPERLINK("http://gitlab.osmosys.co/incident-reporter/incident-reporter-angular-portal/-/merge_requests/3422#note_236091", "Please elaborate this comment
margin: '2px 0' — shorthand with a zero unit-less value.")</f>
        <v/>
      </c>
      <c r="L572" t="inlineStr">
        <is>
          <t>2025-07-14 15:20:55.884 IST</t>
        </is>
      </c>
      <c r="M572" t="inlineStr">
        <is>
          <t>Aditya Chakraborty</t>
        </is>
      </c>
      <c r="N572" t="inlineStr">
        <is>
          <t>No</t>
        </is>
      </c>
      <c r="O572" t="inlineStr">
        <is>
          <t>Yes</t>
        </is>
      </c>
      <c r="P572" t="inlineStr">
        <is>
          <t>Soundariya B</t>
        </is>
      </c>
      <c r="Q572" t="inlineStr">
        <is>
          <t>Bad</t>
        </is>
      </c>
    </row>
    <row r="573">
      <c r="A573" t="inlineStr">
        <is>
          <t>aditya.c</t>
        </is>
      </c>
      <c r="B573" t="inlineStr">
        <is>
          <t>Aditya Chakraborty</t>
        </is>
      </c>
      <c r="C573" t="inlineStr">
        <is>
          <t>aditya.c@osmosys.co</t>
        </is>
      </c>
      <c r="D573" t="inlineStr">
        <is>
          <t>incident-reporter</t>
        </is>
      </c>
      <c r="E573">
        <f>HYPERLINK("http://gitlab.osmosys.co/incident-reporter/incident-reporter-angular-portal", "OQSHA Portal")</f>
        <v/>
      </c>
      <c r="F573">
        <f>HYPERLINK("http://gitlab.osmosys.co/incident-reporter/incident-reporter-angular-portal/-/merge_requests/3422", "fix: make calendar responsive")</f>
        <v/>
      </c>
      <c r="G573" t="inlineStr">
        <is>
          <t>fix/tasks-responsive</t>
        </is>
      </c>
      <c r="H573" t="inlineStr">
        <is>
          <t>sprint-17</t>
        </is>
      </c>
      <c r="I573" t="inlineStr">
        <is>
          <t>merged</t>
        </is>
      </c>
      <c r="J573" t="inlineStr">
        <is>
          <t>de956ef81cf7ee46c6232dc3f3bf87ea2e5537f2</t>
        </is>
      </c>
      <c r="K573">
        <f>HYPERLINK("http://gitlab.osmosys.co/incident-reporter/incident-reporter-angular-portal/-/merge_requests/3422#note_236125", "Shorthand notation can't use if values are with zero please check the comment I mention and fix it, this is already confirmed by Raj so I am following this instruction")</f>
        <v/>
      </c>
      <c r="L573" t="inlineStr">
        <is>
          <t>2025-07-14 16:00:02.861 IST</t>
        </is>
      </c>
      <c r="M573" t="inlineStr">
        <is>
          <t>Soundariya B</t>
        </is>
      </c>
      <c r="N573" t="inlineStr">
        <is>
          <t>Yes</t>
        </is>
      </c>
      <c r="O573" t="inlineStr">
        <is>
          <t>Yes</t>
        </is>
      </c>
      <c r="P573" t="inlineStr">
        <is>
          <t>Soundariya B</t>
        </is>
      </c>
      <c r="Q573" t="inlineStr">
        <is>
          <t>Bad</t>
        </is>
      </c>
    </row>
    <row r="574">
      <c r="A574" t="inlineStr">
        <is>
          <t>aditya.c</t>
        </is>
      </c>
      <c r="B574" t="inlineStr">
        <is>
          <t>Aditya Chakraborty</t>
        </is>
      </c>
      <c r="C574" t="inlineStr">
        <is>
          <t>aditya.c@osmosys.co</t>
        </is>
      </c>
      <c r="D574" t="inlineStr">
        <is>
          <t>incident-reporter</t>
        </is>
      </c>
      <c r="E574">
        <f>HYPERLINK("http://gitlab.osmosys.co/incident-reporter/incident-reporter-angular-portal", "OQSHA Portal")</f>
        <v/>
      </c>
      <c r="F574">
        <f>HYPERLINK("http://gitlab.osmosys.co/incident-reporter/incident-reporter-angular-portal/-/merge_requests/3422", "fix: make calendar responsive")</f>
        <v/>
      </c>
      <c r="G574" t="inlineStr">
        <is>
          <t>fix/tasks-responsive</t>
        </is>
      </c>
      <c r="H574" t="inlineStr">
        <is>
          <t>sprint-17</t>
        </is>
      </c>
      <c r="I574" t="inlineStr">
        <is>
          <t>merged</t>
        </is>
      </c>
      <c r="J574" t="inlineStr">
        <is>
          <t>9cb06ae15f7b9450f43c008b89406a13a7f07857</t>
        </is>
      </c>
      <c r="K574">
        <f>HYPERLINK("http://gitlab.osmosys.co/incident-reporter/incident-reporter-angular-portal/-/merge_requests/3422#note_235462", "Declare data type")</f>
        <v/>
      </c>
      <c r="L574" t="inlineStr">
        <is>
          <t>2025-07-11 18:05:35.098 IST</t>
        </is>
      </c>
      <c r="M574" t="inlineStr">
        <is>
          <t>Soundariya B</t>
        </is>
      </c>
      <c r="N574" t="inlineStr">
        <is>
          <t>Yes</t>
        </is>
      </c>
      <c r="O574" t="inlineStr">
        <is>
          <t>Yes</t>
        </is>
      </c>
      <c r="P574" t="inlineStr">
        <is>
          <t>Soundariya B</t>
        </is>
      </c>
      <c r="Q574" t="inlineStr">
        <is>
          <t>Bad</t>
        </is>
      </c>
    </row>
    <row r="575">
      <c r="A575" t="inlineStr">
        <is>
          <t>aditya.c</t>
        </is>
      </c>
      <c r="B575" t="inlineStr">
        <is>
          <t>Aditya Chakraborty</t>
        </is>
      </c>
      <c r="C575" t="inlineStr">
        <is>
          <t>aditya.c@osmosys.co</t>
        </is>
      </c>
      <c r="D575" t="inlineStr">
        <is>
          <t>incident-reporter</t>
        </is>
      </c>
      <c r="E575">
        <f>HYPERLINK("http://gitlab.osmosys.co/incident-reporter/incident-reporter-angular-portal", "OQSHA Portal")</f>
        <v/>
      </c>
      <c r="F575">
        <f>HYPERLINK("http://gitlab.osmosys.co/incident-reporter/incident-reporter-angular-portal/-/merge_requests/3422", "fix: make calendar responsive")</f>
        <v/>
      </c>
      <c r="G575" t="inlineStr">
        <is>
          <t>fix/tasks-responsive</t>
        </is>
      </c>
      <c r="H575" t="inlineStr">
        <is>
          <t>sprint-17</t>
        </is>
      </c>
      <c r="I575" t="inlineStr">
        <is>
          <t>merged</t>
        </is>
      </c>
      <c r="J575" t="inlineStr">
        <is>
          <t>e12ea07cf5dad05db2404234be13c91e3ad65207</t>
        </is>
      </c>
      <c r="K575">
        <f>HYPERLINK("http://gitlab.osmosys.co/incident-reporter/incident-reporter-angular-portal/-/merge_requests/3422#note_235463", "When the values are not 0, we can use shorthand notation. Another thing is we should not use px when the value is 0.")</f>
        <v/>
      </c>
      <c r="L575" t="inlineStr">
        <is>
          <t>2025-07-11 18:05:35.150 IST</t>
        </is>
      </c>
      <c r="M575" t="inlineStr">
        <is>
          <t>Soundariya B</t>
        </is>
      </c>
      <c r="N575" t="inlineStr">
        <is>
          <t>Yes</t>
        </is>
      </c>
      <c r="O575" t="inlineStr">
        <is>
          <t>Yes</t>
        </is>
      </c>
      <c r="P575" t="inlineStr">
        <is>
          <t>Soundariya B</t>
        </is>
      </c>
      <c r="Q575" t="inlineStr">
        <is>
          <t>Bad</t>
        </is>
      </c>
    </row>
    <row r="576">
      <c r="A576" t="inlineStr">
        <is>
          <t>aditya.c</t>
        </is>
      </c>
      <c r="B576" t="inlineStr">
        <is>
          <t>Aditya Chakraborty</t>
        </is>
      </c>
      <c r="C576" t="inlineStr">
        <is>
          <t>aditya.c@osmosys.co</t>
        </is>
      </c>
      <c r="D576" t="inlineStr">
        <is>
          <t>incident-reporter</t>
        </is>
      </c>
      <c r="E576">
        <f>HYPERLINK("http://gitlab.osmosys.co/incident-reporter/incident-reporter-angular-portal", "OQSHA Portal")</f>
        <v/>
      </c>
      <c r="F576">
        <f>HYPERLINK("http://gitlab.osmosys.co/incident-reporter/incident-reporter-angular-portal/-/merge_requests/3422", "fix: make calendar responsive")</f>
        <v/>
      </c>
      <c r="G576" t="inlineStr">
        <is>
          <t>fix/tasks-responsive</t>
        </is>
      </c>
      <c r="H576" t="inlineStr">
        <is>
          <t>sprint-17</t>
        </is>
      </c>
      <c r="I576" t="inlineStr">
        <is>
          <t>merged</t>
        </is>
      </c>
      <c r="J576" t="inlineStr">
        <is>
          <t>e12ea07cf5dad05db2404234be13c91e3ad65207</t>
        </is>
      </c>
      <c r="K576">
        <f>HYPERLINK("http://gitlab.osmosys.co/incident-reporter/incident-reporter-angular-portal/-/merge_requests/3422#note_236078", "Please elaborate this comment
padding: '1px 2px' — already shorthand.
margin: '1px 0' — shorthand with a zero unit-less value.")</f>
        <v/>
      </c>
      <c r="L576" t="inlineStr">
        <is>
          <t>2025-07-14 15:11:38.115 IST</t>
        </is>
      </c>
      <c r="M576" t="inlineStr">
        <is>
          <t>Aditya Chakraborty</t>
        </is>
      </c>
      <c r="N576" t="inlineStr">
        <is>
          <t>No</t>
        </is>
      </c>
      <c r="O576" t="inlineStr">
        <is>
          <t>Yes</t>
        </is>
      </c>
      <c r="P576" t="inlineStr">
        <is>
          <t>Soundariya B</t>
        </is>
      </c>
      <c r="Q576" t="inlineStr">
        <is>
          <t>Bad</t>
        </is>
      </c>
    </row>
    <row r="577">
      <c r="A577" t="inlineStr">
        <is>
          <t>aditya.c</t>
        </is>
      </c>
      <c r="B577" t="inlineStr">
        <is>
          <t>Aditya Chakraborty</t>
        </is>
      </c>
      <c r="C577" t="inlineStr">
        <is>
          <t>aditya.c@osmosys.co</t>
        </is>
      </c>
      <c r="D577" t="inlineStr">
        <is>
          <t>incident-reporter</t>
        </is>
      </c>
      <c r="E577">
        <f>HYPERLINK("http://gitlab.osmosys.co/incident-reporter/incident-reporter-angular-portal", "OQSHA Portal")</f>
        <v/>
      </c>
      <c r="F577">
        <f>HYPERLINK("http://gitlab.osmosys.co/incident-reporter/incident-reporter-angular-portal/-/merge_requests/3422", "fix: make calendar responsive")</f>
        <v/>
      </c>
      <c r="G577" t="inlineStr">
        <is>
          <t>fix/tasks-responsive</t>
        </is>
      </c>
      <c r="H577" t="inlineStr">
        <is>
          <t>sprint-17</t>
        </is>
      </c>
      <c r="I577" t="inlineStr">
        <is>
          <t>merged</t>
        </is>
      </c>
      <c r="J577" t="inlineStr">
        <is>
          <t>e12ea07cf5dad05db2404234be13c91e3ad65207</t>
        </is>
      </c>
      <c r="K577">
        <f>HYPERLINK("http://gitlab.osmosys.co/incident-reporter/incident-reporter-angular-portal/-/merge_requests/3422#note_236126", "Shorthand notation can't use if values are with zero please check the comment I mention and fix it, this is already confirmed by Raj so I am following this instruction
padding: '1px 2px' — already shorthand. --- This fine because values are not with 0 so it can use.")</f>
        <v/>
      </c>
      <c r="L577" t="inlineStr">
        <is>
          <t>2025-07-14 16:01:04.748 IST</t>
        </is>
      </c>
      <c r="M577" t="inlineStr">
        <is>
          <t>Soundariya B</t>
        </is>
      </c>
      <c r="N577" t="inlineStr">
        <is>
          <t>Yes</t>
        </is>
      </c>
      <c r="O577" t="inlineStr">
        <is>
          <t>Yes</t>
        </is>
      </c>
      <c r="P577" t="inlineStr">
        <is>
          <t>Soundariya B</t>
        </is>
      </c>
      <c r="Q577" t="inlineStr">
        <is>
          <t>Bad</t>
        </is>
      </c>
    </row>
    <row r="578">
      <c r="A578" t="inlineStr">
        <is>
          <t>aditya.c</t>
        </is>
      </c>
      <c r="B578" t="inlineStr">
        <is>
          <t>Aditya Chakraborty</t>
        </is>
      </c>
      <c r="C578" t="inlineStr">
        <is>
          <t>aditya.c@osmosys.co</t>
        </is>
      </c>
      <c r="D578" t="inlineStr">
        <is>
          <t>incident-reporter</t>
        </is>
      </c>
      <c r="E578">
        <f>HYPERLINK("http://gitlab.osmosys.co/incident-reporter/incident-reporter-angular-portal", "OQSHA Portal")</f>
        <v/>
      </c>
      <c r="F578">
        <f>HYPERLINK("http://gitlab.osmosys.co/incident-reporter/incident-reporter-angular-portal/-/merge_requests/3422", "fix: make calendar responsive")</f>
        <v/>
      </c>
      <c r="G578" t="inlineStr">
        <is>
          <t>fix/tasks-responsive</t>
        </is>
      </c>
      <c r="H578" t="inlineStr">
        <is>
          <t>sprint-17</t>
        </is>
      </c>
      <c r="I578" t="inlineStr">
        <is>
          <t>merged</t>
        </is>
      </c>
      <c r="J578" t="inlineStr">
        <is>
          <t>04e26f5c9b2c7517c3ba0c144353fdf241790efa</t>
        </is>
      </c>
      <c r="K578">
        <f>HYPERLINK("http://gitlab.osmosys.co/incident-reporter/incident-reporter-angular-portal/-/merge_requests/3422#note_235464", "I believe these hardcode already there constant file")</f>
        <v/>
      </c>
      <c r="L578" t="inlineStr">
        <is>
          <t>2025-07-11 18:05:35.205 IST</t>
        </is>
      </c>
      <c r="M578" t="inlineStr">
        <is>
          <t>Soundariya B</t>
        </is>
      </c>
      <c r="N578" t="inlineStr">
        <is>
          <t>Yes</t>
        </is>
      </c>
      <c r="O578" t="inlineStr">
        <is>
          <t>Yes</t>
        </is>
      </c>
      <c r="P578" t="inlineStr">
        <is>
          <t>Soundariya B</t>
        </is>
      </c>
      <c r="Q578" t="inlineStr">
        <is>
          <t>Neutral</t>
        </is>
      </c>
    </row>
    <row r="579">
      <c r="A579" t="inlineStr">
        <is>
          <t>aditya.c</t>
        </is>
      </c>
      <c r="B579" t="inlineStr">
        <is>
          <t>Aditya Chakraborty</t>
        </is>
      </c>
      <c r="C579" t="inlineStr">
        <is>
          <t>aditya.c@osmosys.co</t>
        </is>
      </c>
      <c r="D579" t="inlineStr">
        <is>
          <t>incident-reporter</t>
        </is>
      </c>
      <c r="E579">
        <f>HYPERLINK("http://gitlab.osmosys.co/incident-reporter/incident-reporter-angular-portal", "OQSHA Portal")</f>
        <v/>
      </c>
      <c r="F579">
        <f>HYPERLINK("http://gitlab.osmosys.co/incident-reporter/incident-reporter-angular-portal/-/merge_requests/3422", "fix: make calendar responsive")</f>
        <v/>
      </c>
      <c r="G579" t="inlineStr">
        <is>
          <t>fix/tasks-responsive</t>
        </is>
      </c>
      <c r="H579" t="inlineStr">
        <is>
          <t>sprint-17</t>
        </is>
      </c>
      <c r="I579" t="inlineStr">
        <is>
          <t>merged</t>
        </is>
      </c>
      <c r="J579" t="inlineStr">
        <is>
          <t>e06167d8f558d555a7ffcab32b84c7705058ca45</t>
        </is>
      </c>
      <c r="K579">
        <f>HYPERLINK("http://gitlab.osmosys.co/incident-reporter/incident-reporter-angular-portal/-/merge_requests/3422#note_235465", "I believe these hardcode already there constant file")</f>
        <v/>
      </c>
      <c r="L579" t="inlineStr">
        <is>
          <t>2025-07-11 18:05:35.261 IST</t>
        </is>
      </c>
      <c r="M579" t="inlineStr">
        <is>
          <t>Soundariya B</t>
        </is>
      </c>
      <c r="N579" t="inlineStr">
        <is>
          <t>Yes</t>
        </is>
      </c>
      <c r="O579" t="inlineStr">
        <is>
          <t>Yes</t>
        </is>
      </c>
      <c r="P579" t="inlineStr">
        <is>
          <t>Soundariya B</t>
        </is>
      </c>
      <c r="Q579" t="inlineStr">
        <is>
          <t>Neutral</t>
        </is>
      </c>
    </row>
    <row r="580">
      <c r="A580" t="inlineStr">
        <is>
          <t>aditya.c</t>
        </is>
      </c>
      <c r="B580" t="inlineStr">
        <is>
          <t>Aditya Chakraborty</t>
        </is>
      </c>
      <c r="C580" t="inlineStr">
        <is>
          <t>aditya.c@osmosys.co</t>
        </is>
      </c>
      <c r="D580" t="inlineStr">
        <is>
          <t>incident-reporter</t>
        </is>
      </c>
      <c r="E580">
        <f>HYPERLINK("http://gitlab.osmosys.co/incident-reporter/incident-reporter-angular-portal", "OQSHA Portal")</f>
        <v/>
      </c>
      <c r="F580">
        <f>HYPERLINK("http://gitlab.osmosys.co/incident-reporter/incident-reporter-angular-portal/-/merge_requests/3420", "fix: update user visibility flags")</f>
        <v/>
      </c>
      <c r="G580" t="inlineStr">
        <is>
          <t>fix/user-page-flags</t>
        </is>
      </c>
      <c r="H580" t="inlineStr">
        <is>
          <t>sprint-17</t>
        </is>
      </c>
      <c r="I580" t="inlineStr">
        <is>
          <t>merged</t>
        </is>
      </c>
      <c r="J580" t="inlineStr"/>
      <c r="K580" t="inlineStr"/>
      <c r="L580" t="inlineStr"/>
      <c r="M580" t="inlineStr"/>
      <c r="N580" t="inlineStr"/>
      <c r="O580" t="inlineStr"/>
      <c r="P580" t="inlineStr"/>
      <c r="Q580" t="inlineStr"/>
    </row>
    <row r="581">
      <c r="A581" t="inlineStr">
        <is>
          <t>aditya.c</t>
        </is>
      </c>
      <c r="B581" t="inlineStr">
        <is>
          <t>Aditya Chakraborty</t>
        </is>
      </c>
      <c r="C581" t="inlineStr">
        <is>
          <t>aditya.c@osmosys.co</t>
        </is>
      </c>
      <c r="D581" t="inlineStr">
        <is>
          <t>incident-reporter</t>
        </is>
      </c>
      <c r="E581">
        <f>HYPERLINK("http://gitlab.osmosys.co/incident-reporter/incident-reporter-angular-portal", "OQSHA Portal")</f>
        <v/>
      </c>
      <c r="F581">
        <f>HYPERLINK("http://gitlab.osmosys.co/incident-reporter/incident-reporter-angular-portal/-/merge_requests/3416", "fix: multiple bug fixes in inspection, roles and task modules")</f>
        <v/>
      </c>
      <c r="G581" t="inlineStr">
        <is>
          <t>fix/inspection-delete</t>
        </is>
      </c>
      <c r="H581" t="inlineStr">
        <is>
          <t>sprint-17</t>
        </is>
      </c>
      <c r="I581" t="inlineStr">
        <is>
          <t>merged</t>
        </is>
      </c>
      <c r="J581" t="inlineStr"/>
      <c r="K581" t="inlineStr"/>
      <c r="L581" t="inlineStr"/>
      <c r="M581" t="inlineStr"/>
      <c r="N581" t="inlineStr"/>
      <c r="O581" t="inlineStr"/>
      <c r="P581" t="inlineStr"/>
      <c r="Q581" t="inlineStr"/>
    </row>
    <row r="582">
      <c r="A582" t="inlineStr">
        <is>
          <t>aditya.c</t>
        </is>
      </c>
      <c r="B582" t="inlineStr">
        <is>
          <t>Aditya Chakraborty</t>
        </is>
      </c>
      <c r="C582" t="inlineStr">
        <is>
          <t>aditya.c@osmosys.co</t>
        </is>
      </c>
      <c r="D582" t="inlineStr">
        <is>
          <t>incident-reporter</t>
        </is>
      </c>
      <c r="E582">
        <f>HYPERLINK("http://gitlab.osmosys.co/incident-reporter/incident-reporter-angular-portal", "OQSHA Portal")</f>
        <v/>
      </c>
      <c r="F582">
        <f>HYPERLINK("http://gitlab.osmosys.co/incident-reporter/incident-reporter-angular-portal/-/merge_requests/3411", "fix: update global variable for optional setup page rendering")</f>
        <v/>
      </c>
      <c r="G582" t="inlineStr">
        <is>
          <t>fix/setup-visibility</t>
        </is>
      </c>
      <c r="H582" t="inlineStr">
        <is>
          <t>sprint-17</t>
        </is>
      </c>
      <c r="I582" t="inlineStr">
        <is>
          <t>merged</t>
        </is>
      </c>
      <c r="J582" t="inlineStr"/>
      <c r="K582" t="inlineStr"/>
      <c r="L582" t="inlineStr"/>
      <c r="M582" t="inlineStr"/>
      <c r="N582" t="inlineStr"/>
      <c r="O582" t="inlineStr"/>
      <c r="P582" t="inlineStr"/>
      <c r="Q582" t="inlineStr"/>
    </row>
    <row r="583">
      <c r="A583" t="inlineStr">
        <is>
          <t>aditya.c</t>
        </is>
      </c>
      <c r="B583" t="inlineStr">
        <is>
          <t>Aditya Chakraborty</t>
        </is>
      </c>
      <c r="C583" t="inlineStr">
        <is>
          <t>aditya.c@osmosys.co</t>
        </is>
      </c>
      <c r="D583" t="inlineStr">
        <is>
          <t>incident-reporter</t>
        </is>
      </c>
      <c r="E583">
        <f>HYPERLINK("http://gitlab.osmosys.co/incident-reporter/incident-reporter-angular-portal", "OQSHA Portal")</f>
        <v/>
      </c>
      <c r="F583">
        <f>HYPERLINK("http://gitlab.osmosys.co/incident-reporter/incident-reporter-angular-portal/-/merge_requests/3401", "fix: update ptw list status dropdown")</f>
        <v/>
      </c>
      <c r="G583" t="inlineStr">
        <is>
          <t>fix/ptw-status</t>
        </is>
      </c>
      <c r="H583" t="inlineStr">
        <is>
          <t>sprint-17</t>
        </is>
      </c>
      <c r="I583" t="inlineStr">
        <is>
          <t>merged</t>
        </is>
      </c>
      <c r="J583" t="inlineStr">
        <is>
          <t>48c09aa098627dc319c10f2bd487a4265a1dd774</t>
        </is>
      </c>
      <c r="K583">
        <f>HYPERLINK("http://gitlab.osmosys.co/incident-reporter/incident-reporter-angular-portal/-/merge_requests/3401#note_233855", "As this value is showing on UI so it should take from lang files")</f>
        <v/>
      </c>
      <c r="L583" t="inlineStr">
        <is>
          <t>2025-07-09 22:06:46.843 IST</t>
        </is>
      </c>
      <c r="M583" t="inlineStr">
        <is>
          <t>Soundariya B</t>
        </is>
      </c>
      <c r="N583" t="inlineStr">
        <is>
          <t>Yes</t>
        </is>
      </c>
      <c r="O583" t="inlineStr">
        <is>
          <t>Yes</t>
        </is>
      </c>
      <c r="P583" t="inlineStr">
        <is>
          <t>Soundariya B</t>
        </is>
      </c>
      <c r="Q583" t="inlineStr">
        <is>
          <t>Bad</t>
        </is>
      </c>
    </row>
    <row r="584">
      <c r="A584" t="inlineStr">
        <is>
          <t>aditya.c</t>
        </is>
      </c>
      <c r="B584" t="inlineStr">
        <is>
          <t>Aditya Chakraborty</t>
        </is>
      </c>
      <c r="C584" t="inlineStr">
        <is>
          <t>aditya.c@osmosys.co</t>
        </is>
      </c>
      <c r="D584" t="inlineStr">
        <is>
          <t>incident-reporter</t>
        </is>
      </c>
      <c r="E584">
        <f>HYPERLINK("http://gitlab.osmosys.co/incident-reporter/incident-reporter-angular-portal", "OQSHA Portal")</f>
        <v/>
      </c>
      <c r="F584">
        <f>HYPERLINK("http://gitlab.osmosys.co/incident-reporter/incident-reporter-angular-portal/-/merge_requests/3401", "fix: update ptw list status dropdown")</f>
        <v/>
      </c>
      <c r="G584" t="inlineStr">
        <is>
          <t>fix/ptw-status</t>
        </is>
      </c>
      <c r="H584" t="inlineStr">
        <is>
          <t>sprint-17</t>
        </is>
      </c>
      <c r="I584" t="inlineStr">
        <is>
          <t>merged</t>
        </is>
      </c>
      <c r="J584" t="inlineStr">
        <is>
          <t>a4e26787db87ed1cfaf776e253edcb8d0f411b4f</t>
        </is>
      </c>
      <c r="K584">
        <f>HYPERLINK("http://gitlab.osmosys.co/incident-reporter/incident-reporter-angular-portal/-/merge_requests/3401#note_233856", "As this value is showing on UI so it should take from lang files")</f>
        <v/>
      </c>
      <c r="L584" t="inlineStr">
        <is>
          <t>2025-07-09 22:06:46.907 IST</t>
        </is>
      </c>
      <c r="M584" t="inlineStr">
        <is>
          <t>Soundariya B</t>
        </is>
      </c>
      <c r="N584" t="inlineStr">
        <is>
          <t>Yes</t>
        </is>
      </c>
      <c r="O584" t="inlineStr">
        <is>
          <t>Yes</t>
        </is>
      </c>
      <c r="P584" t="inlineStr">
        <is>
          <t>Soundariya B</t>
        </is>
      </c>
      <c r="Q584" t="inlineStr">
        <is>
          <t>Bad</t>
        </is>
      </c>
    </row>
    <row r="585">
      <c r="A585" t="inlineStr">
        <is>
          <t>aditya.c</t>
        </is>
      </c>
      <c r="B585" t="inlineStr">
        <is>
          <t>Aditya Chakraborty</t>
        </is>
      </c>
      <c r="C585" t="inlineStr">
        <is>
          <t>aditya.c@osmosys.co</t>
        </is>
      </c>
      <c r="D585" t="inlineStr">
        <is>
          <t>incident-reporter</t>
        </is>
      </c>
      <c r="E585">
        <f>HYPERLINK("http://gitlab.osmosys.co/incident-reporter/incident-reporter-angular-portal", "OQSHA Portal")</f>
        <v/>
      </c>
      <c r="F585">
        <f>HYPERLINK("http://gitlab.osmosys.co/incident-reporter/incident-reporter-angular-portal/-/merge_requests/3401", "fix: update ptw list status dropdown")</f>
        <v/>
      </c>
      <c r="G585" t="inlineStr">
        <is>
          <t>fix/ptw-status</t>
        </is>
      </c>
      <c r="H585" t="inlineStr">
        <is>
          <t>sprint-17</t>
        </is>
      </c>
      <c r="I585" t="inlineStr">
        <is>
          <t>merged</t>
        </is>
      </c>
      <c r="J585" t="inlineStr">
        <is>
          <t>ef222c69e7c613c020ab3387dc078b835eb9280d</t>
        </is>
      </c>
      <c r="K585">
        <f>HYPERLINK("http://gitlab.osmosys.co/incident-reporter/incident-reporter-angular-portal/-/merge_requests/3401#note_233857", "As this value is showing on UI so it should take from lang files")</f>
        <v/>
      </c>
      <c r="L585" t="inlineStr">
        <is>
          <t>2025-07-09 22:06:46.974 IST</t>
        </is>
      </c>
      <c r="M585" t="inlineStr">
        <is>
          <t>Soundariya B</t>
        </is>
      </c>
      <c r="N585" t="inlineStr">
        <is>
          <t>Yes</t>
        </is>
      </c>
      <c r="O585" t="inlineStr">
        <is>
          <t>Yes</t>
        </is>
      </c>
      <c r="P585" t="inlineStr">
        <is>
          <t>Soundariya B</t>
        </is>
      </c>
      <c r="Q585" t="inlineStr">
        <is>
          <t>Bad</t>
        </is>
      </c>
    </row>
    <row r="586">
      <c r="A586" t="inlineStr">
        <is>
          <t>aditya.c</t>
        </is>
      </c>
      <c r="B586" t="inlineStr">
        <is>
          <t>Aditya Chakraborty</t>
        </is>
      </c>
      <c r="C586" t="inlineStr">
        <is>
          <t>aditya.c@osmosys.co</t>
        </is>
      </c>
      <c r="D586" t="inlineStr">
        <is>
          <t>incident-reporter</t>
        </is>
      </c>
      <c r="E586">
        <f>HYPERLINK("http://gitlab.osmosys.co/incident-reporter/incident-reporter-angular-portal", "OQSHA Portal")</f>
        <v/>
      </c>
      <c r="F586">
        <f>HYPERLINK("http://gitlab.osmosys.co/incident-reporter/incident-reporter-angular-portal/-/merge_requests/3401", "fix: update ptw list status dropdown")</f>
        <v/>
      </c>
      <c r="G586" t="inlineStr">
        <is>
          <t>fix/ptw-status</t>
        </is>
      </c>
      <c r="H586" t="inlineStr">
        <is>
          <t>sprint-17</t>
        </is>
      </c>
      <c r="I586" t="inlineStr">
        <is>
          <t>merged</t>
        </is>
      </c>
      <c r="J586" t="inlineStr">
        <is>
          <t>ef222c69e7c613c020ab3387dc078b835eb9280d</t>
        </is>
      </c>
      <c r="K586">
        <f>HYPERLINK("http://gitlab.osmosys.co/incident-reporter/incident-reporter-angular-portal/-/merge_requests/3401#note_233945", "Updated")</f>
        <v/>
      </c>
      <c r="L586" t="inlineStr">
        <is>
          <t>2025-07-10 10:28:03.905 IST</t>
        </is>
      </c>
      <c r="M586" t="inlineStr">
        <is>
          <t>Aditya Chakraborty</t>
        </is>
      </c>
      <c r="N586" t="inlineStr">
        <is>
          <t>No</t>
        </is>
      </c>
      <c r="O586" t="inlineStr">
        <is>
          <t>Yes</t>
        </is>
      </c>
      <c r="P586" t="inlineStr">
        <is>
          <t>Soundariya B</t>
        </is>
      </c>
      <c r="Q586" t="inlineStr">
        <is>
          <t>Bad</t>
        </is>
      </c>
    </row>
    <row r="587">
      <c r="A587" t="inlineStr">
        <is>
          <t>aditya.c</t>
        </is>
      </c>
      <c r="B587" t="inlineStr">
        <is>
          <t>Aditya Chakraborty</t>
        </is>
      </c>
      <c r="C587" t="inlineStr">
        <is>
          <t>aditya.c@osmosys.co</t>
        </is>
      </c>
      <c r="D587" t="inlineStr">
        <is>
          <t>incident-reporter</t>
        </is>
      </c>
      <c r="E587">
        <f>HYPERLINK("http://gitlab.osmosys.co/incident-reporter/incident-reporter-angular-portal", "OQSHA Portal")</f>
        <v/>
      </c>
      <c r="F587">
        <f>HYPERLINK("http://gitlab.osmosys.co/incident-reporter/incident-reporter-angular-portal/-/merge_requests/3401", "fix: update ptw list status dropdown")</f>
        <v/>
      </c>
      <c r="G587" t="inlineStr">
        <is>
          <t>fix/ptw-status</t>
        </is>
      </c>
      <c r="H587" t="inlineStr">
        <is>
          <t>sprint-17</t>
        </is>
      </c>
      <c r="I587" t="inlineStr">
        <is>
          <t>merged</t>
        </is>
      </c>
      <c r="J587" t="inlineStr">
        <is>
          <t>676f377bba5e01d5f381d9d1a633b77d27d093fa</t>
        </is>
      </c>
      <c r="K587">
        <f>HYPERLINK("http://gitlab.osmosys.co/incident-reporter/incident-reporter-angular-portal/-/merge_requests/3401#note_233858", "As this value is showing on UI so it should take from lang files")</f>
        <v/>
      </c>
      <c r="L587" t="inlineStr">
        <is>
          <t>2025-07-09 22:06:47.043 IST</t>
        </is>
      </c>
      <c r="M587" t="inlineStr">
        <is>
          <t>Soundariya B</t>
        </is>
      </c>
      <c r="N587" t="inlineStr">
        <is>
          <t>Yes</t>
        </is>
      </c>
      <c r="O587" t="inlineStr">
        <is>
          <t>Yes</t>
        </is>
      </c>
      <c r="P587" t="inlineStr">
        <is>
          <t>Soundariya B</t>
        </is>
      </c>
      <c r="Q587" t="inlineStr">
        <is>
          <t>Bad</t>
        </is>
      </c>
    </row>
    <row r="588">
      <c r="A588" t="inlineStr">
        <is>
          <t>aditya.c</t>
        </is>
      </c>
      <c r="B588" t="inlineStr">
        <is>
          <t>Aditya Chakraborty</t>
        </is>
      </c>
      <c r="C588" t="inlineStr">
        <is>
          <t>aditya.c@osmosys.co</t>
        </is>
      </c>
      <c r="D588" t="inlineStr">
        <is>
          <t>incident-reporter</t>
        </is>
      </c>
      <c r="E588">
        <f>HYPERLINK("http://gitlab.osmosys.co/incident-reporter/incident-reporter-angular-portal", "OQSHA Portal")</f>
        <v/>
      </c>
      <c r="F588">
        <f>HYPERLINK("http://gitlab.osmosys.co/incident-reporter/incident-reporter-angular-portal/-/merge_requests/3401", "fix: update ptw list status dropdown")</f>
        <v/>
      </c>
      <c r="G588" t="inlineStr">
        <is>
          <t>fix/ptw-status</t>
        </is>
      </c>
      <c r="H588" t="inlineStr">
        <is>
          <t>sprint-17</t>
        </is>
      </c>
      <c r="I588" t="inlineStr">
        <is>
          <t>merged</t>
        </is>
      </c>
      <c r="J588" t="inlineStr">
        <is>
          <t>676f377bba5e01d5f381d9d1a633b77d27d093fa</t>
        </is>
      </c>
      <c r="K588">
        <f>HYPERLINK("http://gitlab.osmosys.co/incident-reporter/incident-reporter-angular-portal/-/merge_requests/3401#note_233946", "Updated")</f>
        <v/>
      </c>
      <c r="L588" t="inlineStr">
        <is>
          <t>2025-07-10 10:28:07.285 IST</t>
        </is>
      </c>
      <c r="M588" t="inlineStr">
        <is>
          <t>Aditya Chakraborty</t>
        </is>
      </c>
      <c r="N588" t="inlineStr">
        <is>
          <t>No</t>
        </is>
      </c>
      <c r="O588" t="inlineStr">
        <is>
          <t>Yes</t>
        </is>
      </c>
      <c r="P588" t="inlineStr">
        <is>
          <t>Soundariya B</t>
        </is>
      </c>
      <c r="Q588" t="inlineStr">
        <is>
          <t>Bad</t>
        </is>
      </c>
    </row>
    <row r="589">
      <c r="A589" t="inlineStr">
        <is>
          <t>aditya.c</t>
        </is>
      </c>
      <c r="B589" t="inlineStr">
        <is>
          <t>Aditya Chakraborty</t>
        </is>
      </c>
      <c r="C589" t="inlineStr">
        <is>
          <t>aditya.c@osmosys.co</t>
        </is>
      </c>
      <c r="D589" t="inlineStr">
        <is>
          <t>incident-reporter</t>
        </is>
      </c>
      <c r="E589">
        <f>HYPERLINK("http://gitlab.osmosys.co/incident-reporter/incident-reporter-angular-portal", "OQSHA Portal")</f>
        <v/>
      </c>
      <c r="F589">
        <f>HYPERLINK("http://gitlab.osmosys.co/incident-reporter/incident-reporter-angular-portal/-/merge_requests/3401", "fix: update ptw list status dropdown")</f>
        <v/>
      </c>
      <c r="G589" t="inlineStr">
        <is>
          <t>fix/ptw-status</t>
        </is>
      </c>
      <c r="H589" t="inlineStr">
        <is>
          <t>sprint-17</t>
        </is>
      </c>
      <c r="I589" t="inlineStr">
        <is>
          <t>merged</t>
        </is>
      </c>
      <c r="J589" t="inlineStr">
        <is>
          <t>b74e2834603dc7c9a4108ae523467edc1d2128b1</t>
        </is>
      </c>
      <c r="K589">
        <f>HYPERLINK("http://gitlab.osmosys.co/incident-reporter/incident-reporter-angular-portal/-/merge_requests/3401#note_233859", "Add some what are those ids and which for what?
Try to take these from constant so it will be better to store and understand
So those key can use it and meaningful.")</f>
        <v/>
      </c>
      <c r="L589" t="inlineStr">
        <is>
          <t>2025-07-09 22:06:47.125 IST</t>
        </is>
      </c>
      <c r="M589" t="inlineStr">
        <is>
          <t>Soundariya B</t>
        </is>
      </c>
      <c r="N589" t="inlineStr">
        <is>
          <t>Yes</t>
        </is>
      </c>
      <c r="O589" t="inlineStr">
        <is>
          <t>Yes</t>
        </is>
      </c>
      <c r="P589" t="inlineStr">
        <is>
          <t>Soundariya B</t>
        </is>
      </c>
      <c r="Q589" t="inlineStr">
        <is>
          <t>Bad</t>
        </is>
      </c>
    </row>
    <row r="590">
      <c r="A590" t="inlineStr">
        <is>
          <t>aditya.c</t>
        </is>
      </c>
      <c r="B590" t="inlineStr">
        <is>
          <t>Aditya Chakraborty</t>
        </is>
      </c>
      <c r="C590" t="inlineStr">
        <is>
          <t>aditya.c@osmosys.co</t>
        </is>
      </c>
      <c r="D590" t="inlineStr">
        <is>
          <t>incident-reporter</t>
        </is>
      </c>
      <c r="E590">
        <f>HYPERLINK("http://gitlab.osmosys.co/incident-reporter/incident-reporter-angular-portal", "OQSHA Portal")</f>
        <v/>
      </c>
      <c r="F590">
        <f>HYPERLINK("http://gitlab.osmosys.co/incident-reporter/incident-reporter-angular-portal/-/merge_requests/3401", "fix: update ptw list status dropdown")</f>
        <v/>
      </c>
      <c r="G590" t="inlineStr">
        <is>
          <t>fix/ptw-status</t>
        </is>
      </c>
      <c r="H590" t="inlineStr">
        <is>
          <t>sprint-17</t>
        </is>
      </c>
      <c r="I590" t="inlineStr">
        <is>
          <t>merged</t>
        </is>
      </c>
      <c r="J590" t="inlineStr">
        <is>
          <t>0b26290cc474cbcb8a7ca33a8b2dfc52e0f492e4</t>
        </is>
      </c>
      <c r="K590">
        <f>HYPERLINK("http://gitlab.osmosys.co/incident-reporter/incident-reporter-angular-portal/-/merge_requests/3401#note_233860", "Improve this and try it
```
const statusGroups = [
  constants.STATUS.STANDARD_STATUSES,
  constants.STATUS.GROUPED_STATUSES,
  constants.STATUS.CLOSED_STATUSES,
];
const sortByName = (a, b) =&gt; a.Name.localeCompare(b.Name);
this.statusList = statusGroups
  .flatMap(group =&gt;
    this.statusList
      .filter(status =&gt; status.group === group)
      .sort(sortByName)
  );
```
- Removes duplication: Repeats less, reads better.
- Scalable: Add new status groups with ease—just append to statusGroups.
- Readable: Easier to understand intent, especially with flatMap.")</f>
        <v/>
      </c>
      <c r="L590" t="inlineStr">
        <is>
          <t>2025-07-09 22:06:47.187 IST</t>
        </is>
      </c>
      <c r="M590" t="inlineStr">
        <is>
          <t>Soundariya B</t>
        </is>
      </c>
      <c r="N590" t="inlineStr">
        <is>
          <t>Yes</t>
        </is>
      </c>
      <c r="O590" t="inlineStr">
        <is>
          <t>Yes</t>
        </is>
      </c>
      <c r="P590" t="inlineStr">
        <is>
          <t>Soundariya B</t>
        </is>
      </c>
      <c r="Q590" t="inlineStr">
        <is>
          <t>Good</t>
        </is>
      </c>
    </row>
    <row r="591">
      <c r="A591" t="inlineStr">
        <is>
          <t>aditya.c</t>
        </is>
      </c>
      <c r="B591" t="inlineStr">
        <is>
          <t>Aditya Chakraborty</t>
        </is>
      </c>
      <c r="C591" t="inlineStr">
        <is>
          <t>aditya.c@osmosys.co</t>
        </is>
      </c>
      <c r="D591" t="inlineStr">
        <is>
          <t>incident-reporter</t>
        </is>
      </c>
      <c r="E591">
        <f>HYPERLINK("http://gitlab.osmosys.co/incident-reporter/incident-reporter-angular-portal", "OQSHA Portal")</f>
        <v/>
      </c>
      <c r="F591">
        <f>HYPERLINK("http://gitlab.osmosys.co/incident-reporter/incident-reporter-angular-portal/-/merge_requests/3401", "fix: update ptw list status dropdown")</f>
        <v/>
      </c>
      <c r="G591" t="inlineStr">
        <is>
          <t>fix/ptw-status</t>
        </is>
      </c>
      <c r="H591" t="inlineStr">
        <is>
          <t>sprint-17</t>
        </is>
      </c>
      <c r="I591" t="inlineStr">
        <is>
          <t>merged</t>
        </is>
      </c>
      <c r="J591" t="inlineStr">
        <is>
          <t>ec537077bbec07cee897433e0bfab345dd1d181f</t>
        </is>
      </c>
      <c r="K591">
        <f>HYPERLINK("http://gitlab.osmosys.co/incident-reporter/incident-reporter-angular-portal/-/merge_requests/3401#note_233861", "Revert this change")</f>
        <v/>
      </c>
      <c r="L591" t="inlineStr">
        <is>
          <t>2025-07-09 22:06:47.266 IST</t>
        </is>
      </c>
      <c r="M591" t="inlineStr">
        <is>
          <t>Soundariya B</t>
        </is>
      </c>
      <c r="N591" t="inlineStr">
        <is>
          <t>Yes</t>
        </is>
      </c>
      <c r="O591" t="inlineStr">
        <is>
          <t>Yes</t>
        </is>
      </c>
      <c r="P591" t="inlineStr">
        <is>
          <t>Soundariya B</t>
        </is>
      </c>
      <c r="Q591" t="inlineStr">
        <is>
          <t>Bad</t>
        </is>
      </c>
    </row>
    <row r="592">
      <c r="A592" t="inlineStr">
        <is>
          <t>aditya.c</t>
        </is>
      </c>
      <c r="B592" t="inlineStr">
        <is>
          <t>Aditya Chakraborty</t>
        </is>
      </c>
      <c r="C592" t="inlineStr">
        <is>
          <t>aditya.c@osmosys.co</t>
        </is>
      </c>
      <c r="D592" t="inlineStr">
        <is>
          <t>incident-reporter</t>
        </is>
      </c>
      <c r="E592">
        <f>HYPERLINK("http://gitlab.osmosys.co/incident-reporter/incident-reporter-angular-portal", "OQSHA Portal")</f>
        <v/>
      </c>
      <c r="F592">
        <f>HYPERLINK("http://gitlab.osmosys.co/incident-reporter/incident-reporter-angular-portal/-/merge_requests/3401", "fix: update ptw list status dropdown")</f>
        <v/>
      </c>
      <c r="G592" t="inlineStr">
        <is>
          <t>fix/ptw-status</t>
        </is>
      </c>
      <c r="H592" t="inlineStr">
        <is>
          <t>sprint-17</t>
        </is>
      </c>
      <c r="I592" t="inlineStr">
        <is>
          <t>merged</t>
        </is>
      </c>
      <c r="J592" t="inlineStr">
        <is>
          <t>8278599d4d34736d2cd883095b6e2b1df2065758</t>
        </is>
      </c>
      <c r="K592">
        <f>HYPERLINK("http://gitlab.osmosys.co/incident-reporter/incident-reporter-angular-portal/-/merge_requests/3401#note_233863", "As the dropdown data seems to be static so please take it from the lang files rather than the constant file.")</f>
        <v/>
      </c>
      <c r="L592" t="inlineStr">
        <is>
          <t>2025-07-09 22:08:05.047 IST</t>
        </is>
      </c>
      <c r="M592" t="inlineStr">
        <is>
          <t>Soundariya B</t>
        </is>
      </c>
      <c r="N592" t="inlineStr">
        <is>
          <t>Yes</t>
        </is>
      </c>
      <c r="O592" t="inlineStr">
        <is>
          <t>Yes</t>
        </is>
      </c>
      <c r="P592" t="inlineStr">
        <is>
          <t>Soundariya B</t>
        </is>
      </c>
      <c r="Q592" t="inlineStr">
        <is>
          <t>Bad</t>
        </is>
      </c>
    </row>
    <row r="593">
      <c r="A593" t="inlineStr">
        <is>
          <t>aditya.c</t>
        </is>
      </c>
      <c r="B593" t="inlineStr">
        <is>
          <t>Aditya Chakraborty</t>
        </is>
      </c>
      <c r="C593" t="inlineStr">
        <is>
          <t>aditya.c@osmosys.co</t>
        </is>
      </c>
      <c r="D593" t="inlineStr">
        <is>
          <t>incident-reporter</t>
        </is>
      </c>
      <c r="E593">
        <f>HYPERLINK("http://gitlab.osmosys.co/incident-reporter/incident-reporter-angular-portal", "OQSHA Portal")</f>
        <v/>
      </c>
      <c r="F593">
        <f>HYPERLINK("http://gitlab.osmosys.co/incident-reporter/incident-reporter-angular-portal/-/merge_requests/3401", "fix: update ptw list status dropdown")</f>
        <v/>
      </c>
      <c r="G593" t="inlineStr">
        <is>
          <t>fix/ptw-status</t>
        </is>
      </c>
      <c r="H593" t="inlineStr">
        <is>
          <t>sprint-17</t>
        </is>
      </c>
      <c r="I593" t="inlineStr">
        <is>
          <t>merged</t>
        </is>
      </c>
      <c r="J593" t="inlineStr">
        <is>
          <t>8278599d4d34736d2cd883095b6e2b1df2065758</t>
        </is>
      </c>
      <c r="K593">
        <f>HYPERLINK("http://gitlab.osmosys.co/incident-reporter/incident-reporter-angular-portal/-/merge_requests/3401#note_233947", "Updated")</f>
        <v/>
      </c>
      <c r="L593" t="inlineStr">
        <is>
          <t>2025-07-10 10:28:13.336 IST</t>
        </is>
      </c>
      <c r="M593" t="inlineStr">
        <is>
          <t>Aditya Chakraborty</t>
        </is>
      </c>
      <c r="N593" t="inlineStr">
        <is>
          <t>No</t>
        </is>
      </c>
      <c r="O593" t="inlineStr">
        <is>
          <t>Yes</t>
        </is>
      </c>
      <c r="P593" t="inlineStr">
        <is>
          <t>Soundariya B</t>
        </is>
      </c>
      <c r="Q593" t="inlineStr">
        <is>
          <t>Bad</t>
        </is>
      </c>
    </row>
    <row r="594">
      <c r="A594" t="inlineStr">
        <is>
          <t>aditya.c</t>
        </is>
      </c>
      <c r="B594" t="inlineStr">
        <is>
          <t>Aditya Chakraborty</t>
        </is>
      </c>
      <c r="C594" t="inlineStr">
        <is>
          <t>aditya.c@osmosys.co</t>
        </is>
      </c>
      <c r="D594" t="inlineStr">
        <is>
          <t>incident-reporter</t>
        </is>
      </c>
      <c r="E594">
        <f>HYPERLINK("http://gitlab.osmosys.co/incident-reporter/incident-reporter-angular-portal", "OQSHA Portal")</f>
        <v/>
      </c>
      <c r="F594">
        <f>HYPERLINK("http://gitlab.osmosys.co/incident-reporter/incident-reporter-angular-portal/-/merge_requests/3395", "feat: add new department module in portal")</f>
        <v/>
      </c>
      <c r="G594" t="inlineStr">
        <is>
          <t>feat/department-module</t>
        </is>
      </c>
      <c r="H594" t="inlineStr">
        <is>
          <t>sprint-17</t>
        </is>
      </c>
      <c r="I594" t="inlineStr">
        <is>
          <t>merged</t>
        </is>
      </c>
      <c r="J594" t="inlineStr">
        <is>
          <t>be0dc7ad1d444e40561920c74d2f021bb0bc3436</t>
        </is>
      </c>
      <c r="K594">
        <f>HYPERLINK("http://gitlab.osmosys.co/incident-reporter/incident-reporter-angular-portal/-/merge_requests/3395#note_234675", "Remove "In this organisation".")</f>
        <v/>
      </c>
      <c r="L594" t="inlineStr">
        <is>
          <t>2025-07-11 00:00:21.921 IST</t>
        </is>
      </c>
      <c r="M594" t="inlineStr">
        <is>
          <t>Sameer Shaik</t>
        </is>
      </c>
      <c r="N594" t="inlineStr">
        <is>
          <t>Yes</t>
        </is>
      </c>
      <c r="O594" t="inlineStr">
        <is>
          <t>Yes</t>
        </is>
      </c>
      <c r="P594" t="inlineStr">
        <is>
          <t>Soundariya B</t>
        </is>
      </c>
      <c r="Q594" t="inlineStr">
        <is>
          <t>Bad</t>
        </is>
      </c>
    </row>
    <row r="595">
      <c r="A595" t="inlineStr">
        <is>
          <t>aditya.c</t>
        </is>
      </c>
      <c r="B595" t="inlineStr">
        <is>
          <t>Aditya Chakraborty</t>
        </is>
      </c>
      <c r="C595" t="inlineStr">
        <is>
          <t>aditya.c@osmosys.co</t>
        </is>
      </c>
      <c r="D595" t="inlineStr">
        <is>
          <t>incident-reporter</t>
        </is>
      </c>
      <c r="E595">
        <f>HYPERLINK("http://gitlab.osmosys.co/incident-reporter/incident-reporter-angular-portal", "OQSHA Portal")</f>
        <v/>
      </c>
      <c r="F595">
        <f>HYPERLINK("http://gitlab.osmosys.co/incident-reporter/incident-reporter-angular-portal/-/merge_requests/3395", "feat: add new department module in portal")</f>
        <v/>
      </c>
      <c r="G595" t="inlineStr">
        <is>
          <t>feat/department-module</t>
        </is>
      </c>
      <c r="H595" t="inlineStr">
        <is>
          <t>sprint-17</t>
        </is>
      </c>
      <c r="I595" t="inlineStr">
        <is>
          <t>merged</t>
        </is>
      </c>
      <c r="J595" t="inlineStr">
        <is>
          <t>be0dc7ad1d444e40561920c74d2f021bb0bc3436</t>
        </is>
      </c>
      <c r="K595">
        <f>HYPERLINK("http://gitlab.osmosys.co/incident-reporter/incident-reporter-angular-portal/-/merge_requests/3395#note_234951", "Updated")</f>
        <v/>
      </c>
      <c r="L595" t="inlineStr">
        <is>
          <t>2025-07-11 10:19:18.705 IST</t>
        </is>
      </c>
      <c r="M595" t="inlineStr">
        <is>
          <t>Aditya Chakraborty</t>
        </is>
      </c>
      <c r="N595" t="inlineStr">
        <is>
          <t>No</t>
        </is>
      </c>
      <c r="O595" t="inlineStr">
        <is>
          <t>Yes</t>
        </is>
      </c>
      <c r="P595" t="inlineStr">
        <is>
          <t>Soundariya B</t>
        </is>
      </c>
      <c r="Q595" t="inlineStr">
        <is>
          <t>Bad</t>
        </is>
      </c>
    </row>
    <row r="596">
      <c r="A596" t="inlineStr">
        <is>
          <t>aditya.c</t>
        </is>
      </c>
      <c r="B596" t="inlineStr">
        <is>
          <t>Aditya Chakraborty</t>
        </is>
      </c>
      <c r="C596" t="inlineStr">
        <is>
          <t>aditya.c@osmosys.co</t>
        </is>
      </c>
      <c r="D596" t="inlineStr">
        <is>
          <t>incident-reporter</t>
        </is>
      </c>
      <c r="E596">
        <f>HYPERLINK("http://gitlab.osmosys.co/incident-reporter/incident-reporter-angular-portal", "OQSHA Portal")</f>
        <v/>
      </c>
      <c r="F596">
        <f>HYPERLINK("http://gitlab.osmosys.co/incident-reporter/incident-reporter-angular-portal/-/merge_requests/3395", "feat: add new department module in portal")</f>
        <v/>
      </c>
      <c r="G596" t="inlineStr">
        <is>
          <t>feat/department-module</t>
        </is>
      </c>
      <c r="H596" t="inlineStr">
        <is>
          <t>sprint-17</t>
        </is>
      </c>
      <c r="I596" t="inlineStr">
        <is>
          <t>merged</t>
        </is>
      </c>
      <c r="J596" t="inlineStr">
        <is>
          <t>3e19df7b50354326994135bfc0b6ab7169ffe372</t>
        </is>
      </c>
      <c r="K596">
        <f>HYPERLINK("http://gitlab.osmosys.co/incident-reporter/incident-reporter-angular-portal/-/merge_requests/3395#note_234676", "Don't use these literals. It's not allowed and goes against the semantics.")</f>
        <v/>
      </c>
      <c r="L596" t="inlineStr">
        <is>
          <t>2025-07-11 00:00:22.013 IST</t>
        </is>
      </c>
      <c r="M596" t="inlineStr">
        <is>
          <t>Sameer Shaik</t>
        </is>
      </c>
      <c r="N596" t="inlineStr">
        <is>
          <t>Yes</t>
        </is>
      </c>
      <c r="O596" t="inlineStr">
        <is>
          <t>Yes</t>
        </is>
      </c>
      <c r="P596" t="inlineStr">
        <is>
          <t>Soundariya B</t>
        </is>
      </c>
      <c r="Q596" t="inlineStr">
        <is>
          <t>Bad</t>
        </is>
      </c>
    </row>
    <row r="597">
      <c r="A597" t="inlineStr">
        <is>
          <t>aditya.c</t>
        </is>
      </c>
      <c r="B597" t="inlineStr">
        <is>
          <t>Aditya Chakraborty</t>
        </is>
      </c>
      <c r="C597" t="inlineStr">
        <is>
          <t>aditya.c@osmosys.co</t>
        </is>
      </c>
      <c r="D597" t="inlineStr">
        <is>
          <t>incident-reporter</t>
        </is>
      </c>
      <c r="E597">
        <f>HYPERLINK("http://gitlab.osmosys.co/incident-reporter/incident-reporter-angular-portal", "OQSHA Portal")</f>
        <v/>
      </c>
      <c r="F597">
        <f>HYPERLINK("http://gitlab.osmosys.co/incident-reporter/incident-reporter-angular-portal/-/merge_requests/3395", "feat: add new department module in portal")</f>
        <v/>
      </c>
      <c r="G597" t="inlineStr">
        <is>
          <t>feat/department-module</t>
        </is>
      </c>
      <c r="H597" t="inlineStr">
        <is>
          <t>sprint-17</t>
        </is>
      </c>
      <c r="I597" t="inlineStr">
        <is>
          <t>merged</t>
        </is>
      </c>
      <c r="J597" t="inlineStr">
        <is>
          <t>3e19df7b50354326994135bfc0b6ab7169ffe372</t>
        </is>
      </c>
      <c r="K597">
        <f>HYPERLINK("http://gitlab.osmosys.co/incident-reporter/incident-reporter-angular-portal/-/merge_requests/3395#note_234952", "Updated")</f>
        <v/>
      </c>
      <c r="L597" t="inlineStr">
        <is>
          <t>2025-07-11 10:19:24.306 IST</t>
        </is>
      </c>
      <c r="M597" t="inlineStr">
        <is>
          <t>Aditya Chakraborty</t>
        </is>
      </c>
      <c r="N597" t="inlineStr">
        <is>
          <t>No</t>
        </is>
      </c>
      <c r="O597" t="inlineStr">
        <is>
          <t>Yes</t>
        </is>
      </c>
      <c r="P597" t="inlineStr">
        <is>
          <t>Soundariya B</t>
        </is>
      </c>
      <c r="Q597" t="inlineStr">
        <is>
          <t>Bad</t>
        </is>
      </c>
    </row>
    <row r="598">
      <c r="A598" t="inlineStr">
        <is>
          <t>aditya.c</t>
        </is>
      </c>
      <c r="B598" t="inlineStr">
        <is>
          <t>Aditya Chakraborty</t>
        </is>
      </c>
      <c r="C598" t="inlineStr">
        <is>
          <t>aditya.c@osmosys.co</t>
        </is>
      </c>
      <c r="D598" t="inlineStr">
        <is>
          <t>incident-reporter</t>
        </is>
      </c>
      <c r="E598">
        <f>HYPERLINK("http://gitlab.osmosys.co/incident-reporter/incident-reporter-angular-portal", "OQSHA Portal")</f>
        <v/>
      </c>
      <c r="F598">
        <f>HYPERLINK("http://gitlab.osmosys.co/incident-reporter/incident-reporter-angular-portal/-/merge_requests/3395", "feat: add new department module in portal")</f>
        <v/>
      </c>
      <c r="G598" t="inlineStr">
        <is>
          <t>feat/department-module</t>
        </is>
      </c>
      <c r="H598" t="inlineStr">
        <is>
          <t>sprint-17</t>
        </is>
      </c>
      <c r="I598" t="inlineStr">
        <is>
          <t>merged</t>
        </is>
      </c>
      <c r="J598" t="inlineStr">
        <is>
          <t>deb1391435be016a2e8b45676244cf9922fda464</t>
        </is>
      </c>
      <c r="K598">
        <f>HYPERLINK("http://gitlab.osmosys.co/incident-reporter/incident-reporter-angular-portal/-/merge_requests/3395#note_234677", "Why is this Pascal cased while other properties are camel cased.")</f>
        <v/>
      </c>
      <c r="L598" t="inlineStr">
        <is>
          <t>2025-07-11 00:00:22.095 IST</t>
        </is>
      </c>
      <c r="M598" t="inlineStr">
        <is>
          <t>Sameer Shaik</t>
        </is>
      </c>
      <c r="N598" t="inlineStr">
        <is>
          <t>Yes</t>
        </is>
      </c>
      <c r="O598" t="inlineStr">
        <is>
          <t>Yes</t>
        </is>
      </c>
      <c r="P598" t="inlineStr">
        <is>
          <t>Soundariya B</t>
        </is>
      </c>
      <c r="Q598" t="inlineStr">
        <is>
          <t>Bad</t>
        </is>
      </c>
    </row>
    <row r="599">
      <c r="A599" t="inlineStr">
        <is>
          <t>aditya.c</t>
        </is>
      </c>
      <c r="B599" t="inlineStr">
        <is>
          <t>Aditya Chakraborty</t>
        </is>
      </c>
      <c r="C599" t="inlineStr">
        <is>
          <t>aditya.c@osmosys.co</t>
        </is>
      </c>
      <c r="D599" t="inlineStr">
        <is>
          <t>incident-reporter</t>
        </is>
      </c>
      <c r="E599">
        <f>HYPERLINK("http://gitlab.osmosys.co/incident-reporter/incident-reporter-angular-portal", "OQSHA Portal")</f>
        <v/>
      </c>
      <c r="F599">
        <f>HYPERLINK("http://gitlab.osmosys.co/incident-reporter/incident-reporter-angular-portal/-/merge_requests/3395", "feat: add new department module in portal")</f>
        <v/>
      </c>
      <c r="G599" t="inlineStr">
        <is>
          <t>feat/department-module</t>
        </is>
      </c>
      <c r="H599" t="inlineStr">
        <is>
          <t>sprint-17</t>
        </is>
      </c>
      <c r="I599" t="inlineStr">
        <is>
          <t>merged</t>
        </is>
      </c>
      <c r="J599" t="inlineStr">
        <is>
          <t>deb1391435be016a2e8b45676244cf9922fda464</t>
        </is>
      </c>
      <c r="K599">
        <f>HYPERLINK("http://gitlab.osmosys.co/incident-reporter/incident-reporter-angular-portal/-/merge_requests/3395#note_234953", "These properties were directly taken from other modules since for sites we have similar code everywhere - in that process the case was overlooked by me. Updated")</f>
        <v/>
      </c>
      <c r="L599" t="inlineStr">
        <is>
          <t>2025-07-11 10:20:00.296 IST</t>
        </is>
      </c>
      <c r="M599" t="inlineStr">
        <is>
          <t>Aditya Chakraborty</t>
        </is>
      </c>
      <c r="N599" t="inlineStr">
        <is>
          <t>No</t>
        </is>
      </c>
      <c r="O599" t="inlineStr">
        <is>
          <t>Yes</t>
        </is>
      </c>
      <c r="P599" t="inlineStr">
        <is>
          <t>Soundariya B</t>
        </is>
      </c>
      <c r="Q599" t="inlineStr">
        <is>
          <t>Bad</t>
        </is>
      </c>
    </row>
    <row r="600">
      <c r="A600" t="inlineStr">
        <is>
          <t>aditya.c</t>
        </is>
      </c>
      <c r="B600" t="inlineStr">
        <is>
          <t>Aditya Chakraborty</t>
        </is>
      </c>
      <c r="C600" t="inlineStr">
        <is>
          <t>aditya.c@osmosys.co</t>
        </is>
      </c>
      <c r="D600" t="inlineStr">
        <is>
          <t>incident-reporter</t>
        </is>
      </c>
      <c r="E600">
        <f>HYPERLINK("http://gitlab.osmosys.co/incident-reporter/incident-reporter-angular-portal", "OQSHA Portal")</f>
        <v/>
      </c>
      <c r="F600">
        <f>HYPERLINK("http://gitlab.osmosys.co/incident-reporter/incident-reporter-angular-portal/-/merge_requests/3395", "feat: add new department module in portal")</f>
        <v/>
      </c>
      <c r="G600" t="inlineStr">
        <is>
          <t>feat/department-module</t>
        </is>
      </c>
      <c r="H600" t="inlineStr">
        <is>
          <t>sprint-17</t>
        </is>
      </c>
      <c r="I600" t="inlineStr">
        <is>
          <t>merged</t>
        </is>
      </c>
      <c r="J600" t="inlineStr">
        <is>
          <t>877861d5835b8237f21373cdefba6d21ef976726</t>
        </is>
      </c>
      <c r="K600">
        <f>HYPERLINK("http://gitlab.osmosys.co/incident-reporter/incident-reporter-angular-portal/-/merge_requests/3395#note_234678", "Repeated issue with casing.")</f>
        <v/>
      </c>
      <c r="L600" t="inlineStr">
        <is>
          <t>2025-07-11 00:00:22.161 IST</t>
        </is>
      </c>
      <c r="M600" t="inlineStr">
        <is>
          <t>Sameer Shaik</t>
        </is>
      </c>
      <c r="N600" t="inlineStr">
        <is>
          <t>Yes</t>
        </is>
      </c>
      <c r="O600" t="inlineStr">
        <is>
          <t>Yes</t>
        </is>
      </c>
      <c r="P600" t="inlineStr">
        <is>
          <t>Soundariya B</t>
        </is>
      </c>
      <c r="Q600" t="inlineStr">
        <is>
          <t>Bad</t>
        </is>
      </c>
    </row>
    <row r="601">
      <c r="A601" t="inlineStr">
        <is>
          <t>aditya.c</t>
        </is>
      </c>
      <c r="B601" t="inlineStr">
        <is>
          <t>Aditya Chakraborty</t>
        </is>
      </c>
      <c r="C601" t="inlineStr">
        <is>
          <t>aditya.c@osmosys.co</t>
        </is>
      </c>
      <c r="D601" t="inlineStr">
        <is>
          <t>incident-reporter</t>
        </is>
      </c>
      <c r="E601">
        <f>HYPERLINK("http://gitlab.osmosys.co/incident-reporter/incident-reporter-angular-portal", "OQSHA Portal")</f>
        <v/>
      </c>
      <c r="F601">
        <f>HYPERLINK("http://gitlab.osmosys.co/incident-reporter/incident-reporter-angular-portal/-/merge_requests/3395", "feat: add new department module in portal")</f>
        <v/>
      </c>
      <c r="G601" t="inlineStr">
        <is>
          <t>feat/department-module</t>
        </is>
      </c>
      <c r="H601" t="inlineStr">
        <is>
          <t>sprint-17</t>
        </is>
      </c>
      <c r="I601" t="inlineStr">
        <is>
          <t>merged</t>
        </is>
      </c>
      <c r="J601" t="inlineStr">
        <is>
          <t>877861d5835b8237f21373cdefba6d21ef976726</t>
        </is>
      </c>
      <c r="K601">
        <f>HYPERLINK("http://gitlab.osmosys.co/incident-reporter/incident-reporter-angular-portal/-/merge_requests/3395#note_234954", "Updated")</f>
        <v/>
      </c>
      <c r="L601" t="inlineStr">
        <is>
          <t>2025-07-11 10:20:08.087 IST</t>
        </is>
      </c>
      <c r="M601" t="inlineStr">
        <is>
          <t>Aditya Chakraborty</t>
        </is>
      </c>
      <c r="N601" t="inlineStr">
        <is>
          <t>No</t>
        </is>
      </c>
      <c r="O601" t="inlineStr">
        <is>
          <t>Yes</t>
        </is>
      </c>
      <c r="P601" t="inlineStr">
        <is>
          <t>Soundariya B</t>
        </is>
      </c>
      <c r="Q601" t="inlineStr">
        <is>
          <t>Bad</t>
        </is>
      </c>
    </row>
    <row r="602">
      <c r="A602" t="inlineStr">
        <is>
          <t>aditya.c</t>
        </is>
      </c>
      <c r="B602" t="inlineStr">
        <is>
          <t>Aditya Chakraborty</t>
        </is>
      </c>
      <c r="C602" t="inlineStr">
        <is>
          <t>aditya.c@osmosys.co</t>
        </is>
      </c>
      <c r="D602" t="inlineStr">
        <is>
          <t>incident-reporter</t>
        </is>
      </c>
      <c r="E602">
        <f>HYPERLINK("http://gitlab.osmosys.co/incident-reporter/incident-reporter-angular-portal", "OQSHA Portal")</f>
        <v/>
      </c>
      <c r="F602">
        <f>HYPERLINK("http://gitlab.osmosys.co/incident-reporter/incident-reporter-angular-portal/-/merge_requests/3395", "feat: add new department module in portal")</f>
        <v/>
      </c>
      <c r="G602" t="inlineStr">
        <is>
          <t>feat/department-module</t>
        </is>
      </c>
      <c r="H602" t="inlineStr">
        <is>
          <t>sprint-17</t>
        </is>
      </c>
      <c r="I602" t="inlineStr">
        <is>
          <t>merged</t>
        </is>
      </c>
      <c r="J602" t="inlineStr">
        <is>
          <t>034b46ac151bcf7fcee70a30a841512a6a30d464</t>
        </is>
      </c>
      <c r="K602">
        <f>HYPERLINK("http://gitlab.osmosys.co/incident-reporter/incident-reporter-angular-portal/-/merge_requests/3395#note_234679", "Why are some functions async while some of them aren't? This doesn't have a function that is called using "await".")</f>
        <v/>
      </c>
      <c r="L602" t="inlineStr">
        <is>
          <t>2025-07-11 00:00:22.227 IST</t>
        </is>
      </c>
      <c r="M602" t="inlineStr">
        <is>
          <t>Sameer Shaik</t>
        </is>
      </c>
      <c r="N602" t="inlineStr">
        <is>
          <t>Yes</t>
        </is>
      </c>
      <c r="O602" t="inlineStr">
        <is>
          <t>Yes</t>
        </is>
      </c>
      <c r="P602" t="inlineStr">
        <is>
          <t>Soundariya B</t>
        </is>
      </c>
      <c r="Q602" t="inlineStr">
        <is>
          <t>Bad</t>
        </is>
      </c>
    </row>
    <row r="603">
      <c r="A603" t="inlineStr">
        <is>
          <t>aditya.c</t>
        </is>
      </c>
      <c r="B603" t="inlineStr">
        <is>
          <t>Aditya Chakraborty</t>
        </is>
      </c>
      <c r="C603" t="inlineStr">
        <is>
          <t>aditya.c@osmosys.co</t>
        </is>
      </c>
      <c r="D603" t="inlineStr">
        <is>
          <t>incident-reporter</t>
        </is>
      </c>
      <c r="E603">
        <f>HYPERLINK("http://gitlab.osmosys.co/incident-reporter/incident-reporter-angular-portal", "OQSHA Portal")</f>
        <v/>
      </c>
      <c r="F603">
        <f>HYPERLINK("http://gitlab.osmosys.co/incident-reporter/incident-reporter-angular-portal/-/merge_requests/3395", "feat: add new department module in portal")</f>
        <v/>
      </c>
      <c r="G603" t="inlineStr">
        <is>
          <t>feat/department-module</t>
        </is>
      </c>
      <c r="H603" t="inlineStr">
        <is>
          <t>sprint-17</t>
        </is>
      </c>
      <c r="I603" t="inlineStr">
        <is>
          <t>merged</t>
        </is>
      </c>
      <c r="J603" t="inlineStr">
        <is>
          <t>034b46ac151bcf7fcee70a30a841512a6a30d464</t>
        </is>
      </c>
      <c r="K603">
        <f>HYPERLINK("http://gitlab.osmosys.co/incident-reporter/incident-reporter-angular-portal/-/merge_requests/3395#note_234955", "I thought sites might have an GET API so while implementing the skeleton structure I added async - I missed removing it after proper implementation.")</f>
        <v/>
      </c>
      <c r="L603" t="inlineStr">
        <is>
          <t>2025-07-11 10:21:11.635 IST</t>
        </is>
      </c>
      <c r="M603" t="inlineStr">
        <is>
          <t>Aditya Chakraborty</t>
        </is>
      </c>
      <c r="N603" t="inlineStr">
        <is>
          <t>No</t>
        </is>
      </c>
      <c r="O603" t="inlineStr">
        <is>
          <t>Yes</t>
        </is>
      </c>
      <c r="P603" t="inlineStr">
        <is>
          <t>Soundariya B</t>
        </is>
      </c>
      <c r="Q603" t="inlineStr">
        <is>
          <t>Bad</t>
        </is>
      </c>
    </row>
    <row r="604">
      <c r="A604" t="inlineStr">
        <is>
          <t>aditya.c</t>
        </is>
      </c>
      <c r="B604" t="inlineStr">
        <is>
          <t>Aditya Chakraborty</t>
        </is>
      </c>
      <c r="C604" t="inlineStr">
        <is>
          <t>aditya.c@osmosys.co</t>
        </is>
      </c>
      <c r="D604" t="inlineStr">
        <is>
          <t>incident-reporter</t>
        </is>
      </c>
      <c r="E604">
        <f>HYPERLINK("http://gitlab.osmosys.co/incident-reporter/incident-reporter-angular-portal", "OQSHA Portal")</f>
        <v/>
      </c>
      <c r="F604">
        <f>HYPERLINK("http://gitlab.osmosys.co/incident-reporter/incident-reporter-angular-portal/-/merge_requests/3395", "feat: add new department module in portal")</f>
        <v/>
      </c>
      <c r="G604" t="inlineStr">
        <is>
          <t>feat/department-module</t>
        </is>
      </c>
      <c r="H604" t="inlineStr">
        <is>
          <t>sprint-17</t>
        </is>
      </c>
      <c r="I604" t="inlineStr">
        <is>
          <t>merged</t>
        </is>
      </c>
      <c r="J604" t="inlineStr">
        <is>
          <t>45542f7f3a0817204c206872764dd083fa101e81</t>
        </is>
      </c>
      <c r="K604">
        <f>HYPERLINK("http://gitlab.osmosys.co/incident-reporter/incident-reporter-angular-portal/-/merge_requests/3395#note_234680", "Add empty line in between if blocks.")</f>
        <v/>
      </c>
      <c r="L604" t="inlineStr">
        <is>
          <t>2025-07-11 00:00:22.283 IST</t>
        </is>
      </c>
      <c r="M604" t="inlineStr">
        <is>
          <t>Sameer Shaik</t>
        </is>
      </c>
      <c r="N604" t="inlineStr">
        <is>
          <t>Yes</t>
        </is>
      </c>
      <c r="O604" t="inlineStr">
        <is>
          <t>Yes</t>
        </is>
      </c>
      <c r="P604" t="inlineStr">
        <is>
          <t>Soundariya B</t>
        </is>
      </c>
      <c r="Q604" t="inlineStr">
        <is>
          <t>Bad</t>
        </is>
      </c>
    </row>
    <row r="605">
      <c r="A605" t="inlineStr">
        <is>
          <t>aditya.c</t>
        </is>
      </c>
      <c r="B605" t="inlineStr">
        <is>
          <t>Aditya Chakraborty</t>
        </is>
      </c>
      <c r="C605" t="inlineStr">
        <is>
          <t>aditya.c@osmosys.co</t>
        </is>
      </c>
      <c r="D605" t="inlineStr">
        <is>
          <t>incident-reporter</t>
        </is>
      </c>
      <c r="E605">
        <f>HYPERLINK("http://gitlab.osmosys.co/incident-reporter/incident-reporter-angular-portal", "OQSHA Portal")</f>
        <v/>
      </c>
      <c r="F605">
        <f>HYPERLINK("http://gitlab.osmosys.co/incident-reporter/incident-reporter-angular-portal/-/merge_requests/3395", "feat: add new department module in portal")</f>
        <v/>
      </c>
      <c r="G605" t="inlineStr">
        <is>
          <t>feat/department-module</t>
        </is>
      </c>
      <c r="H605" t="inlineStr">
        <is>
          <t>sprint-17</t>
        </is>
      </c>
      <c r="I605" t="inlineStr">
        <is>
          <t>merged</t>
        </is>
      </c>
      <c r="J605" t="inlineStr">
        <is>
          <t>45542f7f3a0817204c206872764dd083fa101e81</t>
        </is>
      </c>
      <c r="K605">
        <f>HYPERLINK("http://gitlab.osmosys.co/incident-reporter/incident-reporter-angular-portal/-/merge_requests/3395#note_234956", "Updated")</f>
        <v/>
      </c>
      <c r="L605" t="inlineStr">
        <is>
          <t>2025-07-11 10:21:22.849 IST</t>
        </is>
      </c>
      <c r="M605" t="inlineStr">
        <is>
          <t>Aditya Chakraborty</t>
        </is>
      </c>
      <c r="N605" t="inlineStr">
        <is>
          <t>No</t>
        </is>
      </c>
      <c r="O605" t="inlineStr">
        <is>
          <t>Yes</t>
        </is>
      </c>
      <c r="P605" t="inlineStr">
        <is>
          <t>Soundariya B</t>
        </is>
      </c>
      <c r="Q605" t="inlineStr">
        <is>
          <t>Bad</t>
        </is>
      </c>
    </row>
    <row r="606">
      <c r="A606" t="inlineStr">
        <is>
          <t>aditya.c</t>
        </is>
      </c>
      <c r="B606" t="inlineStr">
        <is>
          <t>Aditya Chakraborty</t>
        </is>
      </c>
      <c r="C606" t="inlineStr">
        <is>
          <t>aditya.c@osmosys.co</t>
        </is>
      </c>
      <c r="D606" t="inlineStr">
        <is>
          <t>incident-reporter</t>
        </is>
      </c>
      <c r="E606">
        <f>HYPERLINK("http://gitlab.osmosys.co/incident-reporter/incident-reporter-angular-portal", "OQSHA Portal")</f>
        <v/>
      </c>
      <c r="F606">
        <f>HYPERLINK("http://gitlab.osmosys.co/incident-reporter/incident-reporter-angular-portal/-/merge_requests/3392", "feat: implement ptw copy feature")</f>
        <v/>
      </c>
      <c r="G606" t="inlineStr">
        <is>
          <t>feat/ptw-copy</t>
        </is>
      </c>
      <c r="H606" t="inlineStr">
        <is>
          <t>sprint-18</t>
        </is>
      </c>
      <c r="I606" t="inlineStr">
        <is>
          <t>merged</t>
        </is>
      </c>
      <c r="J606" t="inlineStr">
        <is>
          <t>74d3fc5c901bea09c7d7ab43477fbf8c2ce7b776</t>
        </is>
      </c>
      <c r="K606">
        <f>HYPERLINK("http://gitlab.osmosys.co/incident-reporter/incident-reporter-angular-portal/-/merge_requests/3392#note_233811", "No checklist updated")</f>
        <v/>
      </c>
      <c r="L606" t="inlineStr">
        <is>
          <t>2025-07-09 21:37:26.860 IST</t>
        </is>
      </c>
      <c r="M606" t="inlineStr">
        <is>
          <t>Soundariya B</t>
        </is>
      </c>
      <c r="N606" t="inlineStr">
        <is>
          <t>Yes</t>
        </is>
      </c>
      <c r="O606" t="inlineStr">
        <is>
          <t>Yes</t>
        </is>
      </c>
      <c r="P606" t="inlineStr">
        <is>
          <t>Soundariya B</t>
        </is>
      </c>
      <c r="Q606" t="inlineStr">
        <is>
          <t>Bad</t>
        </is>
      </c>
    </row>
    <row r="607">
      <c r="A607" t="inlineStr">
        <is>
          <t>aditya.c</t>
        </is>
      </c>
      <c r="B607" t="inlineStr">
        <is>
          <t>Aditya Chakraborty</t>
        </is>
      </c>
      <c r="C607" t="inlineStr">
        <is>
          <t>aditya.c@osmosys.co</t>
        </is>
      </c>
      <c r="D607" t="inlineStr">
        <is>
          <t>incident-reporter</t>
        </is>
      </c>
      <c r="E607">
        <f>HYPERLINK("http://gitlab.osmosys.co/incident-reporter/incident-reporter-angular-portal", "OQSHA Portal")</f>
        <v/>
      </c>
      <c r="F607">
        <f>HYPERLINK("http://gitlab.osmosys.co/incident-reporter/incident-reporter-angular-portal/-/merge_requests/3392", "feat: implement ptw copy feature")</f>
        <v/>
      </c>
      <c r="G607" t="inlineStr">
        <is>
          <t>feat/ptw-copy</t>
        </is>
      </c>
      <c r="H607" t="inlineStr">
        <is>
          <t>sprint-18</t>
        </is>
      </c>
      <c r="I607" t="inlineStr">
        <is>
          <t>merged</t>
        </is>
      </c>
      <c r="J607" t="inlineStr">
        <is>
          <t>74d3fc5c901bea09c7d7ab43477fbf8c2ce7b776</t>
        </is>
      </c>
      <c r="K607">
        <f>HYPERLINK("http://gitlab.osmosys.co/incident-reporter/incident-reporter-angular-portal/-/merge_requests/3392#note_234286", "Updated")</f>
        <v/>
      </c>
      <c r="L607" t="inlineStr">
        <is>
          <t>2025-07-10 18:00:49.658 IST</t>
        </is>
      </c>
      <c r="M607" t="inlineStr">
        <is>
          <t>Aditya Chakraborty</t>
        </is>
      </c>
      <c r="N607" t="inlineStr">
        <is>
          <t>No</t>
        </is>
      </c>
      <c r="O607" t="inlineStr">
        <is>
          <t>Yes</t>
        </is>
      </c>
      <c r="P607" t="inlineStr">
        <is>
          <t>Soundariya B</t>
        </is>
      </c>
      <c r="Q607" t="inlineStr">
        <is>
          <t>Bad</t>
        </is>
      </c>
    </row>
    <row r="608">
      <c r="A608" t="inlineStr">
        <is>
          <t>aditya.c</t>
        </is>
      </c>
      <c r="B608" t="inlineStr">
        <is>
          <t>Aditya Chakraborty</t>
        </is>
      </c>
      <c r="C608" t="inlineStr">
        <is>
          <t>aditya.c@osmosys.co</t>
        </is>
      </c>
      <c r="D608" t="inlineStr">
        <is>
          <t>incident-reporter</t>
        </is>
      </c>
      <c r="E608">
        <f>HYPERLINK("http://gitlab.osmosys.co/incident-reporter/incident-reporter-angular-portal", "OQSHA Portal")</f>
        <v/>
      </c>
      <c r="F608">
        <f>HYPERLINK("http://gitlab.osmosys.co/incident-reporter/incident-reporter-angular-portal/-/merge_requests/3392", "feat: implement ptw copy feature")</f>
        <v/>
      </c>
      <c r="G608" t="inlineStr">
        <is>
          <t>feat/ptw-copy</t>
        </is>
      </c>
      <c r="H608" t="inlineStr">
        <is>
          <t>sprint-18</t>
        </is>
      </c>
      <c r="I608" t="inlineStr">
        <is>
          <t>merged</t>
        </is>
      </c>
      <c r="J608" t="inlineStr">
        <is>
          <t>d2baace7afed09f4e0eab838f2f24dea46bbd615</t>
        </is>
      </c>
      <c r="K608">
        <f>HYPERLINK("http://gitlab.osmosys.co/incident-reporter/incident-reporter-angular-portal/-/merge_requests/3392#note_233812", "The screen recording in incomplete and no process shown in that")</f>
        <v/>
      </c>
      <c r="L608" t="inlineStr">
        <is>
          <t>2025-07-09 21:37:26.892 IST</t>
        </is>
      </c>
      <c r="M608" t="inlineStr">
        <is>
          <t>Soundariya B</t>
        </is>
      </c>
      <c r="N608" t="inlineStr">
        <is>
          <t>Yes</t>
        </is>
      </c>
      <c r="O608" t="inlineStr">
        <is>
          <t>Yes</t>
        </is>
      </c>
      <c r="P608" t="inlineStr">
        <is>
          <t>Soundariya B</t>
        </is>
      </c>
      <c r="Q608" t="inlineStr">
        <is>
          <t>Bad</t>
        </is>
      </c>
    </row>
    <row r="609">
      <c r="A609" t="inlineStr">
        <is>
          <t>aditya.c</t>
        </is>
      </c>
      <c r="B609" t="inlineStr">
        <is>
          <t>Aditya Chakraborty</t>
        </is>
      </c>
      <c r="C609" t="inlineStr">
        <is>
          <t>aditya.c@osmosys.co</t>
        </is>
      </c>
      <c r="D609" t="inlineStr">
        <is>
          <t>incident-reporter</t>
        </is>
      </c>
      <c r="E609">
        <f>HYPERLINK("http://gitlab.osmosys.co/incident-reporter/incident-reporter-angular-portal", "OQSHA Portal")</f>
        <v/>
      </c>
      <c r="F609">
        <f>HYPERLINK("http://gitlab.osmosys.co/incident-reporter/incident-reporter-angular-portal/-/merge_requests/3392", "feat: implement ptw copy feature")</f>
        <v/>
      </c>
      <c r="G609" t="inlineStr">
        <is>
          <t>feat/ptw-copy</t>
        </is>
      </c>
      <c r="H609" t="inlineStr">
        <is>
          <t>sprint-18</t>
        </is>
      </c>
      <c r="I609" t="inlineStr">
        <is>
          <t>merged</t>
        </is>
      </c>
      <c r="J609" t="inlineStr">
        <is>
          <t>d2baace7afed09f4e0eab838f2f24dea46bbd615</t>
        </is>
      </c>
      <c r="K609">
        <f>HYPERLINK("http://gitlab.osmosys.co/incident-reporter/incident-reporter-angular-portal/-/merge_requests/3392#note_234287", "Updated")</f>
        <v/>
      </c>
      <c r="L609" t="inlineStr">
        <is>
          <t>2025-07-10 18:00:52.629 IST</t>
        </is>
      </c>
      <c r="M609" t="inlineStr">
        <is>
          <t>Aditya Chakraborty</t>
        </is>
      </c>
      <c r="N609" t="inlineStr">
        <is>
          <t>No</t>
        </is>
      </c>
      <c r="O609" t="inlineStr">
        <is>
          <t>Yes</t>
        </is>
      </c>
      <c r="P609" t="inlineStr">
        <is>
          <t>Soundariya B</t>
        </is>
      </c>
      <c r="Q609" t="inlineStr">
        <is>
          <t>Bad</t>
        </is>
      </c>
    </row>
    <row r="610">
      <c r="A610" t="inlineStr">
        <is>
          <t>aditya.c</t>
        </is>
      </c>
      <c r="B610" t="inlineStr">
        <is>
          <t>Aditya Chakraborty</t>
        </is>
      </c>
      <c r="C610" t="inlineStr">
        <is>
          <t>aditya.c@osmosys.co</t>
        </is>
      </c>
      <c r="D610" t="inlineStr">
        <is>
          <t>incident-reporter</t>
        </is>
      </c>
      <c r="E610">
        <f>HYPERLINK("http://gitlab.osmosys.co/incident-reporter/incident-reporter-angular-portal", "OQSHA Portal")</f>
        <v/>
      </c>
      <c r="F610">
        <f>HYPERLINK("http://gitlab.osmosys.co/incident-reporter/incident-reporter-angular-portal/-/merge_requests/3392", "feat: implement ptw copy feature")</f>
        <v/>
      </c>
      <c r="G610" t="inlineStr">
        <is>
          <t>feat/ptw-copy</t>
        </is>
      </c>
      <c r="H610" t="inlineStr">
        <is>
          <t>sprint-18</t>
        </is>
      </c>
      <c r="I610" t="inlineStr">
        <is>
          <t>merged</t>
        </is>
      </c>
      <c r="J610" t="inlineStr">
        <is>
          <t>2d3bc89ce855e37f6671a0bad7244cac10c3c3ae</t>
        </is>
      </c>
      <c r="K610">
        <f>HYPERLINK("http://gitlab.osmosys.co/incident-reporter/incident-reporter-angular-portal/-/merge_requests/3392#note_233813", "And why the checkbox/selected one are in red color, we have blue primary color across the portal why specifically using new color for this ptw? - As there is no such requirement in the task")</f>
        <v/>
      </c>
      <c r="L610" t="inlineStr">
        <is>
          <t>2025-07-09 21:37:26.919 IST</t>
        </is>
      </c>
      <c r="M610" t="inlineStr">
        <is>
          <t>Soundariya B</t>
        </is>
      </c>
      <c r="N610" t="inlineStr">
        <is>
          <t>Yes</t>
        </is>
      </c>
      <c r="O610" t="inlineStr">
        <is>
          <t>Yes</t>
        </is>
      </c>
      <c r="P610" t="inlineStr">
        <is>
          <t>Soundariya B</t>
        </is>
      </c>
      <c r="Q610" t="inlineStr">
        <is>
          <t>Bad</t>
        </is>
      </c>
    </row>
    <row r="611">
      <c r="A611" t="inlineStr">
        <is>
          <t>aditya.c</t>
        </is>
      </c>
      <c r="B611" t="inlineStr">
        <is>
          <t>Aditya Chakraborty</t>
        </is>
      </c>
      <c r="C611" t="inlineStr">
        <is>
          <t>aditya.c@osmosys.co</t>
        </is>
      </c>
      <c r="D611" t="inlineStr">
        <is>
          <t>incident-reporter</t>
        </is>
      </c>
      <c r="E611">
        <f>HYPERLINK("http://gitlab.osmosys.co/incident-reporter/incident-reporter-angular-portal", "OQSHA Portal")</f>
        <v/>
      </c>
      <c r="F611">
        <f>HYPERLINK("http://gitlab.osmosys.co/incident-reporter/incident-reporter-angular-portal/-/merge_requests/3392", "feat: implement ptw copy feature")</f>
        <v/>
      </c>
      <c r="G611" t="inlineStr">
        <is>
          <t>feat/ptw-copy</t>
        </is>
      </c>
      <c r="H611" t="inlineStr">
        <is>
          <t>sprint-18</t>
        </is>
      </c>
      <c r="I611" t="inlineStr">
        <is>
          <t>merged</t>
        </is>
      </c>
      <c r="J611" t="inlineStr">
        <is>
          <t>2d3bc89ce855e37f6671a0bad7244cac10c3c3ae</t>
        </is>
      </c>
      <c r="K611">
        <f>HYPERLINK("http://gitlab.osmosys.co/incident-reporter/incident-reporter-angular-portal/-/merge_requests/3392#note_234173", "I have not changed that - it has been changed across the portal
![image](/uploads/c6f2d2d4a60c0701cf843a9e63ba9fe5/image.png){width=1435 height=741}
Screenshot from _QA Staging_")</f>
        <v/>
      </c>
      <c r="L611" t="inlineStr">
        <is>
          <t>2025-07-10 16:25:32.342 IST</t>
        </is>
      </c>
      <c r="M611" t="inlineStr">
        <is>
          <t>Aditya Chakraborty</t>
        </is>
      </c>
      <c r="N611" t="inlineStr">
        <is>
          <t>No</t>
        </is>
      </c>
      <c r="O611" t="inlineStr">
        <is>
          <t>Yes</t>
        </is>
      </c>
      <c r="P611" t="inlineStr">
        <is>
          <t>Soundariya B</t>
        </is>
      </c>
      <c r="Q611" t="inlineStr">
        <is>
          <t>Bad</t>
        </is>
      </c>
    </row>
    <row r="612">
      <c r="A612" t="inlineStr">
        <is>
          <t>aditya.c</t>
        </is>
      </c>
      <c r="B612" t="inlineStr">
        <is>
          <t>Aditya Chakraborty</t>
        </is>
      </c>
      <c r="C612" t="inlineStr">
        <is>
          <t>aditya.c@osmosys.co</t>
        </is>
      </c>
      <c r="D612" t="inlineStr">
        <is>
          <t>incident-reporter</t>
        </is>
      </c>
      <c r="E612">
        <f>HYPERLINK("http://gitlab.osmosys.co/incident-reporter/incident-reporter-angular-portal", "OQSHA Portal")</f>
        <v/>
      </c>
      <c r="F612">
        <f>HYPERLINK("http://gitlab.osmosys.co/incident-reporter/incident-reporter-angular-portal/-/merge_requests/3392", "feat: implement ptw copy feature")</f>
        <v/>
      </c>
      <c r="G612" t="inlineStr">
        <is>
          <t>feat/ptw-copy</t>
        </is>
      </c>
      <c r="H612" t="inlineStr">
        <is>
          <t>sprint-18</t>
        </is>
      </c>
      <c r="I612" t="inlineStr">
        <is>
          <t>merged</t>
        </is>
      </c>
      <c r="J612" t="inlineStr">
        <is>
          <t>2d3bc89ce855e37f6671a0bad7244cac10c3c3ae</t>
        </is>
      </c>
      <c r="K612">
        <f>HYPERLINK("http://gitlab.osmosys.co/incident-reporter/incident-reporter-angular-portal/-/merge_requests/3392#note_241407", "Not its fixed and currently same color using across the portal
![image](/uploads/965fd3230f3c305e39f714fb797237f3/image.png)")</f>
        <v/>
      </c>
      <c r="L612" t="inlineStr">
        <is>
          <t>2025-07-24 16:04:11.411 IST</t>
        </is>
      </c>
      <c r="M612" t="inlineStr">
        <is>
          <t>Soundariya B</t>
        </is>
      </c>
      <c r="N612" t="inlineStr">
        <is>
          <t>Yes</t>
        </is>
      </c>
      <c r="O612" t="inlineStr">
        <is>
          <t>Yes</t>
        </is>
      </c>
      <c r="P612" t="inlineStr">
        <is>
          <t>Soundariya B</t>
        </is>
      </c>
      <c r="Q612" t="inlineStr">
        <is>
          <t>Bad</t>
        </is>
      </c>
    </row>
    <row r="613">
      <c r="A613" t="inlineStr">
        <is>
          <t>aditya.c</t>
        </is>
      </c>
      <c r="B613" t="inlineStr">
        <is>
          <t>Aditya Chakraborty</t>
        </is>
      </c>
      <c r="C613" t="inlineStr">
        <is>
          <t>aditya.c@osmosys.co</t>
        </is>
      </c>
      <c r="D613" t="inlineStr">
        <is>
          <t>incident-reporter</t>
        </is>
      </c>
      <c r="E613">
        <f>HYPERLINK("http://gitlab.osmosys.co/incident-reporter/incident-reporter-angular-portal", "OQSHA Portal")</f>
        <v/>
      </c>
      <c r="F613">
        <f>HYPERLINK("http://gitlab.osmosys.co/incident-reporter/incident-reporter-angular-portal/-/merge_requests/3392", "feat: implement ptw copy feature")</f>
        <v/>
      </c>
      <c r="G613" t="inlineStr">
        <is>
          <t>feat/ptw-copy</t>
        </is>
      </c>
      <c r="H613" t="inlineStr">
        <is>
          <t>sprint-18</t>
        </is>
      </c>
      <c r="I613" t="inlineStr">
        <is>
          <t>merged</t>
        </is>
      </c>
      <c r="J613" t="inlineStr">
        <is>
          <t>b902324351d22d1d0d97dcb2fd72907eb79d4fbc</t>
        </is>
      </c>
      <c r="K613">
        <f>HYPERLINK("http://gitlab.osmosys.co/incident-reporter/incident-reporter-angular-portal/-/merge_requests/3392#note_233814", "And also please upload the video how exactly you added for app with clear process and also showed corner case test")</f>
        <v/>
      </c>
      <c r="L613" t="inlineStr">
        <is>
          <t>2025-07-09 21:37:26.943 IST</t>
        </is>
      </c>
      <c r="M613" t="inlineStr">
        <is>
          <t>Soundariya B</t>
        </is>
      </c>
      <c r="N613" t="inlineStr">
        <is>
          <t>Yes</t>
        </is>
      </c>
      <c r="O613" t="inlineStr">
        <is>
          <t>Yes</t>
        </is>
      </c>
      <c r="P613" t="inlineStr">
        <is>
          <t>Soundariya B</t>
        </is>
      </c>
      <c r="Q613" t="inlineStr">
        <is>
          <t>Good</t>
        </is>
      </c>
    </row>
    <row r="614">
      <c r="A614" t="inlineStr">
        <is>
          <t>aditya.c</t>
        </is>
      </c>
      <c r="B614" t="inlineStr">
        <is>
          <t>Aditya Chakraborty</t>
        </is>
      </c>
      <c r="C614" t="inlineStr">
        <is>
          <t>aditya.c@osmosys.co</t>
        </is>
      </c>
      <c r="D614" t="inlineStr">
        <is>
          <t>incident-reporter</t>
        </is>
      </c>
      <c r="E614">
        <f>HYPERLINK("http://gitlab.osmosys.co/incident-reporter/incident-reporter-angular-portal", "OQSHA Portal")</f>
        <v/>
      </c>
      <c r="F614">
        <f>HYPERLINK("http://gitlab.osmosys.co/incident-reporter/incident-reporter-angular-portal/-/merge_requests/3392", "feat: implement ptw copy feature")</f>
        <v/>
      </c>
      <c r="G614" t="inlineStr">
        <is>
          <t>feat/ptw-copy</t>
        </is>
      </c>
      <c r="H614" t="inlineStr">
        <is>
          <t>sprint-18</t>
        </is>
      </c>
      <c r="I614" t="inlineStr">
        <is>
          <t>merged</t>
        </is>
      </c>
      <c r="J614" t="inlineStr">
        <is>
          <t>b902324351d22d1d0d97dcb2fd72907eb79d4fbc</t>
        </is>
      </c>
      <c r="K614">
        <f>HYPERLINK("http://gitlab.osmosys.co/incident-reporter/incident-reporter-angular-portal/-/merge_requests/3392#note_234174", "Added")</f>
        <v/>
      </c>
      <c r="L614" t="inlineStr">
        <is>
          <t>2025-07-10 16:25:46.558 IST</t>
        </is>
      </c>
      <c r="M614" t="inlineStr">
        <is>
          <t>Aditya Chakraborty</t>
        </is>
      </c>
      <c r="N614" t="inlineStr">
        <is>
          <t>No</t>
        </is>
      </c>
      <c r="O614" t="inlineStr">
        <is>
          <t>Yes</t>
        </is>
      </c>
      <c r="P614" t="inlineStr">
        <is>
          <t>Soundariya B</t>
        </is>
      </c>
      <c r="Q614" t="inlineStr">
        <is>
          <t>Good</t>
        </is>
      </c>
    </row>
    <row r="615">
      <c r="A615" t="inlineStr">
        <is>
          <t>aditya.c</t>
        </is>
      </c>
      <c r="B615" t="inlineStr">
        <is>
          <t>Aditya Chakraborty</t>
        </is>
      </c>
      <c r="C615" t="inlineStr">
        <is>
          <t>aditya.c@osmosys.co</t>
        </is>
      </c>
      <c r="D615" t="inlineStr">
        <is>
          <t>incident-reporter</t>
        </is>
      </c>
      <c r="E615">
        <f>HYPERLINK("http://gitlab.osmosys.co/incident-reporter/incident-reporter-angular-portal", "OQSHA Portal")</f>
        <v/>
      </c>
      <c r="F615">
        <f>HYPERLINK("http://gitlab.osmosys.co/incident-reporter/incident-reporter-angular-portal/-/merge_requests/3392", "feat: implement ptw copy feature")</f>
        <v/>
      </c>
      <c r="G615" t="inlineStr">
        <is>
          <t>feat/ptw-copy</t>
        </is>
      </c>
      <c r="H615" t="inlineStr">
        <is>
          <t>sprint-18</t>
        </is>
      </c>
      <c r="I615" t="inlineStr">
        <is>
          <t>merged</t>
        </is>
      </c>
      <c r="J615" t="inlineStr">
        <is>
          <t>6708bcbca035da1c600efb212529878258250c0c</t>
        </is>
      </c>
      <c r="K615">
        <f>HYPERLINK("http://gitlab.osmosys.co/incident-reporter/incident-reporter-angular-portal/-/merge_requests/3392#note_233815", "Not acceptable to use 'Any' - the variable should have proper declared data type")</f>
        <v/>
      </c>
      <c r="L615" t="inlineStr">
        <is>
          <t>2025-07-09 21:37:27.026 IST</t>
        </is>
      </c>
      <c r="M615" t="inlineStr">
        <is>
          <t>Soundariya B</t>
        </is>
      </c>
      <c r="N615" t="inlineStr">
        <is>
          <t>Yes</t>
        </is>
      </c>
      <c r="O615" t="inlineStr">
        <is>
          <t>Yes</t>
        </is>
      </c>
      <c r="P615" t="inlineStr">
        <is>
          <t>Soundariya B</t>
        </is>
      </c>
      <c r="Q615" t="inlineStr">
        <is>
          <t>Bad</t>
        </is>
      </c>
    </row>
    <row r="616">
      <c r="A616" t="inlineStr">
        <is>
          <t>aditya.c</t>
        </is>
      </c>
      <c r="B616" t="inlineStr">
        <is>
          <t>Aditya Chakraborty</t>
        </is>
      </c>
      <c r="C616" t="inlineStr">
        <is>
          <t>aditya.c@osmosys.co</t>
        </is>
      </c>
      <c r="D616" t="inlineStr">
        <is>
          <t>incident-reporter</t>
        </is>
      </c>
      <c r="E616">
        <f>HYPERLINK("http://gitlab.osmosys.co/incident-reporter/incident-reporter-angular-portal", "OQSHA Portal")</f>
        <v/>
      </c>
      <c r="F616">
        <f>HYPERLINK("http://gitlab.osmosys.co/incident-reporter/incident-reporter-angular-portal/-/merge_requests/3392", "feat: implement ptw copy feature")</f>
        <v/>
      </c>
      <c r="G616" t="inlineStr">
        <is>
          <t>feat/ptw-copy</t>
        </is>
      </c>
      <c r="H616" t="inlineStr">
        <is>
          <t>sprint-18</t>
        </is>
      </c>
      <c r="I616" t="inlineStr">
        <is>
          <t>merged</t>
        </is>
      </c>
      <c r="J616" t="inlineStr">
        <is>
          <t>6708bcbca035da1c600efb212529878258250c0c</t>
        </is>
      </c>
      <c r="K616">
        <f>HYPERLINK("http://gitlab.osmosys.co/incident-reporter/incident-reporter-angular-portal/-/merge_requests/3392#note_241409", "![image](/uploads/9c90ab5f86a933acc0f6c4222a3b2b93/image.png)
No initialization and data type declaration")</f>
        <v/>
      </c>
      <c r="L616" t="inlineStr">
        <is>
          <t>2025-07-24 16:06:13.371 IST</t>
        </is>
      </c>
      <c r="M616" t="inlineStr">
        <is>
          <t>Soundariya B</t>
        </is>
      </c>
      <c r="N616" t="inlineStr">
        <is>
          <t>Yes</t>
        </is>
      </c>
      <c r="O616" t="inlineStr">
        <is>
          <t>Yes</t>
        </is>
      </c>
      <c r="P616" t="inlineStr">
        <is>
          <t>Soundariya B</t>
        </is>
      </c>
      <c r="Q616" t="inlineStr">
        <is>
          <t>Bad</t>
        </is>
      </c>
    </row>
    <row r="617">
      <c r="A617" t="inlineStr">
        <is>
          <t>aditya.c</t>
        </is>
      </c>
      <c r="B617" t="inlineStr">
        <is>
          <t>Aditya Chakraborty</t>
        </is>
      </c>
      <c r="C617" t="inlineStr">
        <is>
          <t>aditya.c@osmosys.co</t>
        </is>
      </c>
      <c r="D617" t="inlineStr">
        <is>
          <t>incident-reporter</t>
        </is>
      </c>
      <c r="E617">
        <f>HYPERLINK("http://gitlab.osmosys.co/incident-reporter/incident-reporter-angular-portal", "OQSHA Portal")</f>
        <v/>
      </c>
      <c r="F617">
        <f>HYPERLINK("http://gitlab.osmosys.co/incident-reporter/incident-reporter-angular-portal/-/merge_requests/3392", "feat: implement ptw copy feature")</f>
        <v/>
      </c>
      <c r="G617" t="inlineStr">
        <is>
          <t>feat/ptw-copy</t>
        </is>
      </c>
      <c r="H617" t="inlineStr">
        <is>
          <t>sprint-18</t>
        </is>
      </c>
      <c r="I617" t="inlineStr">
        <is>
          <t>merged</t>
        </is>
      </c>
      <c r="J617" t="inlineStr">
        <is>
          <t>d05a84a7108b206ea7a89b2e1edb05da4301fb03</t>
        </is>
      </c>
      <c r="K617">
        <f>HYPERLINK("http://gitlab.osmosys.co/incident-reporter/incident-reporter-angular-portal/-/merge_requests/3392#note_233816", "Rename it- copiedPtwId")</f>
        <v/>
      </c>
      <c r="L617" t="inlineStr">
        <is>
          <t>2025-07-09 21:37:27.084 IST</t>
        </is>
      </c>
      <c r="M617" t="inlineStr">
        <is>
          <t>Soundariya B</t>
        </is>
      </c>
      <c r="N617" t="inlineStr">
        <is>
          <t>Yes</t>
        </is>
      </c>
      <c r="O617" t="inlineStr">
        <is>
          <t>Yes</t>
        </is>
      </c>
      <c r="P617" t="inlineStr">
        <is>
          <t>Soundariya B</t>
        </is>
      </c>
      <c r="Q617" t="inlineStr">
        <is>
          <t>Bad</t>
        </is>
      </c>
    </row>
    <row r="618">
      <c r="A618" t="inlineStr">
        <is>
          <t>aditya.c</t>
        </is>
      </c>
      <c r="B618" t="inlineStr">
        <is>
          <t>Aditya Chakraborty</t>
        </is>
      </c>
      <c r="C618" t="inlineStr">
        <is>
          <t>aditya.c@osmosys.co</t>
        </is>
      </c>
      <c r="D618" t="inlineStr">
        <is>
          <t>incident-reporter</t>
        </is>
      </c>
      <c r="E618">
        <f>HYPERLINK("http://gitlab.osmosys.co/incident-reporter/incident-reporter-angular-portal", "OQSHA Portal")</f>
        <v/>
      </c>
      <c r="F618">
        <f>HYPERLINK("http://gitlab.osmosys.co/incident-reporter/incident-reporter-angular-portal/-/merge_requests/3392", "feat: implement ptw copy feature")</f>
        <v/>
      </c>
      <c r="G618" t="inlineStr">
        <is>
          <t>feat/ptw-copy</t>
        </is>
      </c>
      <c r="H618" t="inlineStr">
        <is>
          <t>sprint-18</t>
        </is>
      </c>
      <c r="I618" t="inlineStr">
        <is>
          <t>merged</t>
        </is>
      </c>
      <c r="J618" t="inlineStr">
        <is>
          <t>d05a84a7108b206ea7a89b2e1edb05da4301fb03</t>
        </is>
      </c>
      <c r="K618">
        <f>HYPERLINK("http://gitlab.osmosys.co/incident-reporter/incident-reporter-angular-portal/-/merge_requests/3392#note_241411", "Suggested change not reflecting of this thread and No initialization and data type declaration")</f>
        <v/>
      </c>
      <c r="L618" t="inlineStr">
        <is>
          <t>2025-07-24 16:07:18.970 IST</t>
        </is>
      </c>
      <c r="M618" t="inlineStr">
        <is>
          <t>Soundariya B</t>
        </is>
      </c>
      <c r="N618" t="inlineStr">
        <is>
          <t>Yes</t>
        </is>
      </c>
      <c r="O618" t="inlineStr">
        <is>
          <t>Yes</t>
        </is>
      </c>
      <c r="P618" t="inlineStr">
        <is>
          <t>Soundariya B</t>
        </is>
      </c>
      <c r="Q618" t="inlineStr">
        <is>
          <t>Bad</t>
        </is>
      </c>
    </row>
    <row r="619">
      <c r="A619" t="inlineStr">
        <is>
          <t>aditya.c</t>
        </is>
      </c>
      <c r="B619" t="inlineStr">
        <is>
          <t>Aditya Chakraborty</t>
        </is>
      </c>
      <c r="C619" t="inlineStr">
        <is>
          <t>aditya.c@osmosys.co</t>
        </is>
      </c>
      <c r="D619" t="inlineStr">
        <is>
          <t>incident-reporter</t>
        </is>
      </c>
      <c r="E619">
        <f>HYPERLINK("http://gitlab.osmosys.co/incident-reporter/incident-reporter-angular-portal", "OQSHA Portal")</f>
        <v/>
      </c>
      <c r="F619">
        <f>HYPERLINK("http://gitlab.osmosys.co/incident-reporter/incident-reporter-angular-portal/-/merge_requests/3392", "feat: implement ptw copy feature")</f>
        <v/>
      </c>
      <c r="G619" t="inlineStr">
        <is>
          <t>feat/ptw-copy</t>
        </is>
      </c>
      <c r="H619" t="inlineStr">
        <is>
          <t>sprint-18</t>
        </is>
      </c>
      <c r="I619" t="inlineStr">
        <is>
          <t>merged</t>
        </is>
      </c>
      <c r="J619" t="inlineStr">
        <is>
          <t>bc3b9b3f6e76b5181e1d6f64739169c2c7f7f5af</t>
        </is>
      </c>
      <c r="K619">
        <f>HYPERLINK("http://gitlab.osmosys.co/incident-reporter/incident-reporter-angular-portal/-/merge_requests/3392#note_233817", "Declare data type")</f>
        <v/>
      </c>
      <c r="L619" t="inlineStr">
        <is>
          <t>2025-07-09 21:37:27.137 IST</t>
        </is>
      </c>
      <c r="M619" t="inlineStr">
        <is>
          <t>Soundariya B</t>
        </is>
      </c>
      <c r="N619" t="inlineStr">
        <is>
          <t>Yes</t>
        </is>
      </c>
      <c r="O619" t="inlineStr">
        <is>
          <t>Yes</t>
        </is>
      </c>
      <c r="P619" t="inlineStr">
        <is>
          <t>Raj Kumar</t>
        </is>
      </c>
      <c r="Q619" t="inlineStr">
        <is>
          <t>Bad</t>
        </is>
      </c>
    </row>
    <row r="620">
      <c r="A620" t="inlineStr">
        <is>
          <t>aditya.c</t>
        </is>
      </c>
      <c r="B620" t="inlineStr">
        <is>
          <t>Aditya Chakraborty</t>
        </is>
      </c>
      <c r="C620" t="inlineStr">
        <is>
          <t>aditya.c@osmosys.co</t>
        </is>
      </c>
      <c r="D620" t="inlineStr">
        <is>
          <t>incident-reporter</t>
        </is>
      </c>
      <c r="E620">
        <f>HYPERLINK("http://gitlab.osmosys.co/incident-reporter/incident-reporter-angular-portal", "OQSHA Portal")</f>
        <v/>
      </c>
      <c r="F620">
        <f>HYPERLINK("http://gitlab.osmosys.co/incident-reporter/incident-reporter-angular-portal/-/merge_requests/3392", "feat: implement ptw copy feature")</f>
        <v/>
      </c>
      <c r="G620" t="inlineStr">
        <is>
          <t>feat/ptw-copy</t>
        </is>
      </c>
      <c r="H620" t="inlineStr">
        <is>
          <t>sprint-18</t>
        </is>
      </c>
      <c r="I620" t="inlineStr">
        <is>
          <t>merged</t>
        </is>
      </c>
      <c r="J620" t="inlineStr">
        <is>
          <t>bc3b9b3f6e76b5181e1d6f64739169c2c7f7f5af</t>
        </is>
      </c>
      <c r="K620">
        <f>HYPERLINK("http://gitlab.osmosys.co/incident-reporter/incident-reporter-angular-portal/-/merge_requests/3392#note_234187", "![image](/uploads/a312a72ee92063da0362027ecb6f9303/image.png){width=408 height=132}
These are all previously made - this would require me to check the object in list API response, create an interface and then declare the type. It would take me time to do that and then test
Moreover there are properties whose types I do not know:
![image](/uploads/575b2898a35082990951efeb8b87b5cf/image.png){width=508 height=464}")</f>
        <v/>
      </c>
      <c r="L620" t="inlineStr">
        <is>
          <t>2025-07-10 16:29:53.156 IST</t>
        </is>
      </c>
      <c r="M620" t="inlineStr">
        <is>
          <t>Aditya Chakraborty</t>
        </is>
      </c>
      <c r="N620" t="inlineStr">
        <is>
          <t>No</t>
        </is>
      </c>
      <c r="O620" t="inlineStr">
        <is>
          <t>Yes</t>
        </is>
      </c>
      <c r="P620" t="inlineStr">
        <is>
          <t>Raj Kumar</t>
        </is>
      </c>
      <c r="Q620" t="inlineStr">
        <is>
          <t>Bad</t>
        </is>
      </c>
    </row>
    <row r="621">
      <c r="A621" t="inlineStr">
        <is>
          <t>aditya.c</t>
        </is>
      </c>
      <c r="B621" t="inlineStr">
        <is>
          <t>Aditya Chakraborty</t>
        </is>
      </c>
      <c r="C621" t="inlineStr">
        <is>
          <t>aditya.c@osmosys.co</t>
        </is>
      </c>
      <c r="D621" t="inlineStr">
        <is>
          <t>incident-reporter</t>
        </is>
      </c>
      <c r="E621">
        <f>HYPERLINK("http://gitlab.osmosys.co/incident-reporter/incident-reporter-angular-portal", "OQSHA Portal")</f>
        <v/>
      </c>
      <c r="F621">
        <f>HYPERLINK("http://gitlab.osmosys.co/incident-reporter/incident-reporter-angular-portal/-/merge_requests/3392", "feat: implement ptw copy feature")</f>
        <v/>
      </c>
      <c r="G621" t="inlineStr">
        <is>
          <t>feat/ptw-copy</t>
        </is>
      </c>
      <c r="H621" t="inlineStr">
        <is>
          <t>sprint-18</t>
        </is>
      </c>
      <c r="I621" t="inlineStr">
        <is>
          <t>merged</t>
        </is>
      </c>
      <c r="J621" t="inlineStr">
        <is>
          <t>bc3b9b3f6e76b5181e1d6f64739169c2c7f7f5af</t>
        </is>
      </c>
      <c r="K621">
        <f>HYPERLINK("http://gitlab.osmosys.co/incident-reporter/incident-reporter-angular-portal/-/merge_requests/3392#note_241412", "Please get confirmation from Raj if its fine or not for now")</f>
        <v/>
      </c>
      <c r="L621" t="inlineStr">
        <is>
          <t>2025-07-24 16:08:06.744 IST</t>
        </is>
      </c>
      <c r="M621" t="inlineStr">
        <is>
          <t>Soundariya B</t>
        </is>
      </c>
      <c r="N621" t="inlineStr">
        <is>
          <t>Yes</t>
        </is>
      </c>
      <c r="O621" t="inlineStr">
        <is>
          <t>Yes</t>
        </is>
      </c>
      <c r="P621" t="inlineStr">
        <is>
          <t>Raj Kumar</t>
        </is>
      </c>
      <c r="Q621" t="inlineStr">
        <is>
          <t>Bad</t>
        </is>
      </c>
    </row>
    <row r="622">
      <c r="A622" t="inlineStr">
        <is>
          <t>aditya.c</t>
        </is>
      </c>
      <c r="B622" t="inlineStr">
        <is>
          <t>Aditya Chakraborty</t>
        </is>
      </c>
      <c r="C622" t="inlineStr">
        <is>
          <t>aditya.c@osmosys.co</t>
        </is>
      </c>
      <c r="D622" t="inlineStr">
        <is>
          <t>incident-reporter</t>
        </is>
      </c>
      <c r="E622">
        <f>HYPERLINK("http://gitlab.osmosys.co/incident-reporter/incident-reporter-angular-portal", "OQSHA Portal")</f>
        <v/>
      </c>
      <c r="F622">
        <f>HYPERLINK("http://gitlab.osmosys.co/incident-reporter/incident-reporter-angular-portal/-/merge_requests/3392", "feat: implement ptw copy feature")</f>
        <v/>
      </c>
      <c r="G622" t="inlineStr">
        <is>
          <t>feat/ptw-copy</t>
        </is>
      </c>
      <c r="H622" t="inlineStr">
        <is>
          <t>sprint-18</t>
        </is>
      </c>
      <c r="I622" t="inlineStr">
        <is>
          <t>merged</t>
        </is>
      </c>
      <c r="J622" t="inlineStr">
        <is>
          <t>23e99d734204c360f6be0462dfe467e4549c3c54</t>
        </is>
      </c>
      <c r="K622">
        <f>HYPERLINK("http://gitlab.osmosys.co/incident-reporter/incident-reporter-angular-portal/-/merge_requests/3392#note_233818", "I want to know what is the title for this key - COPY_PTW?")</f>
        <v/>
      </c>
      <c r="L622" t="inlineStr">
        <is>
          <t>2025-07-09 21:37:27.200 IST</t>
        </is>
      </c>
      <c r="M622" t="inlineStr">
        <is>
          <t>Soundariya B</t>
        </is>
      </c>
      <c r="N622" t="inlineStr">
        <is>
          <t>Yes</t>
        </is>
      </c>
      <c r="O622" t="inlineStr">
        <is>
          <t>Yes</t>
        </is>
      </c>
      <c r="P622" t="inlineStr">
        <is>
          <t>Soundariya B</t>
        </is>
      </c>
      <c r="Q622" t="inlineStr">
        <is>
          <t>Bad</t>
        </is>
      </c>
    </row>
    <row r="623">
      <c r="A623" t="inlineStr">
        <is>
          <t>aditya.c</t>
        </is>
      </c>
      <c r="B623" t="inlineStr">
        <is>
          <t>Aditya Chakraborty</t>
        </is>
      </c>
      <c r="C623" t="inlineStr">
        <is>
          <t>aditya.c@osmosys.co</t>
        </is>
      </c>
      <c r="D623" t="inlineStr">
        <is>
          <t>incident-reporter</t>
        </is>
      </c>
      <c r="E623">
        <f>HYPERLINK("http://gitlab.osmosys.co/incident-reporter/incident-reporter-angular-portal", "OQSHA Portal")</f>
        <v/>
      </c>
      <c r="F623">
        <f>HYPERLINK("http://gitlab.osmosys.co/incident-reporter/incident-reporter-angular-portal/-/merge_requests/3392", "feat: implement ptw copy feature")</f>
        <v/>
      </c>
      <c r="G623" t="inlineStr">
        <is>
          <t>feat/ptw-copy</t>
        </is>
      </c>
      <c r="H623" t="inlineStr">
        <is>
          <t>sprint-18</t>
        </is>
      </c>
      <c r="I623" t="inlineStr">
        <is>
          <t>merged</t>
        </is>
      </c>
      <c r="J623" t="inlineStr">
        <is>
          <t>23e99d734204c360f6be0462dfe467e4549c3c54</t>
        </is>
      </c>
      <c r="K623">
        <f>HYPERLINK("http://gitlab.osmosys.co/incident-reporter/incident-reporter-angular-portal/-/merge_requests/3392#note_234188", "Removed it")</f>
        <v/>
      </c>
      <c r="L623" t="inlineStr">
        <is>
          <t>2025-07-10 16:30:11.811 IST</t>
        </is>
      </c>
      <c r="M623" t="inlineStr">
        <is>
          <t>Aditya Chakraborty</t>
        </is>
      </c>
      <c r="N623" t="inlineStr">
        <is>
          <t>No</t>
        </is>
      </c>
      <c r="O623" t="inlineStr">
        <is>
          <t>Yes</t>
        </is>
      </c>
      <c r="P623" t="inlineStr">
        <is>
          <t>Soundariya B</t>
        </is>
      </c>
      <c r="Q623" t="inlineStr">
        <is>
          <t>Bad</t>
        </is>
      </c>
    </row>
    <row r="624">
      <c r="A624" t="inlineStr">
        <is>
          <t>aditya.c</t>
        </is>
      </c>
      <c r="B624" t="inlineStr">
        <is>
          <t>Aditya Chakraborty</t>
        </is>
      </c>
      <c r="C624" t="inlineStr">
        <is>
          <t>aditya.c@osmosys.co</t>
        </is>
      </c>
      <c r="D624" t="inlineStr">
        <is>
          <t>incident-reporter</t>
        </is>
      </c>
      <c r="E624">
        <f>HYPERLINK("http://gitlab.osmosys.co/incident-reporter/incident-reporter-angular-portal", "OQSHA Portal")</f>
        <v/>
      </c>
      <c r="F624">
        <f>HYPERLINK("http://gitlab.osmosys.co/incident-reporter/incident-reporter-angular-portal/-/merge_requests/3392", "feat: implement ptw copy feature")</f>
        <v/>
      </c>
      <c r="G624" t="inlineStr">
        <is>
          <t>feat/ptw-copy</t>
        </is>
      </c>
      <c r="H624" t="inlineStr">
        <is>
          <t>sprint-18</t>
        </is>
      </c>
      <c r="I624" t="inlineStr">
        <is>
          <t>merged</t>
        </is>
      </c>
      <c r="J624" t="inlineStr">
        <is>
          <t>7fc1b229281d94f16bf4bf8a54f8e6c08485143c</t>
        </is>
      </c>
      <c r="K624">
        <f>HYPERLINK("http://gitlab.osmosys.co/incident-reporter/incident-reporter-angular-portal/-/merge_requests/3392#note_233819", "Please find another approach, this approach is not recommended especially if there is a high chance of delay in processing it. This gives issue when user have 3G network or in bad network area or server load issue.")</f>
        <v/>
      </c>
      <c r="L624" t="inlineStr">
        <is>
          <t>2025-07-09 21:37:27.256 IST</t>
        </is>
      </c>
      <c r="M624" t="inlineStr">
        <is>
          <t>Soundariya B</t>
        </is>
      </c>
      <c r="N624" t="inlineStr">
        <is>
          <t>Yes</t>
        </is>
      </c>
      <c r="O624" t="inlineStr">
        <is>
          <t>Yes</t>
        </is>
      </c>
      <c r="P624" t="inlineStr">
        <is>
          <t>Soundariya B</t>
        </is>
      </c>
      <c r="Q624" t="inlineStr">
        <is>
          <t>Bad</t>
        </is>
      </c>
    </row>
    <row r="625">
      <c r="A625" t="inlineStr">
        <is>
          <t>aditya.c</t>
        </is>
      </c>
      <c r="B625" t="inlineStr">
        <is>
          <t>Aditya Chakraborty</t>
        </is>
      </c>
      <c r="C625" t="inlineStr">
        <is>
          <t>aditya.c@osmosys.co</t>
        </is>
      </c>
      <c r="D625" t="inlineStr">
        <is>
          <t>incident-reporter</t>
        </is>
      </c>
      <c r="E625">
        <f>HYPERLINK("http://gitlab.osmosys.co/incident-reporter/incident-reporter-angular-portal", "OQSHA Portal")</f>
        <v/>
      </c>
      <c r="F625">
        <f>HYPERLINK("http://gitlab.osmosys.co/incident-reporter/incident-reporter-angular-portal/-/merge_requests/3392", "feat: implement ptw copy feature")</f>
        <v/>
      </c>
      <c r="G625" t="inlineStr">
        <is>
          <t>feat/ptw-copy</t>
        </is>
      </c>
      <c r="H625" t="inlineStr">
        <is>
          <t>sprint-18</t>
        </is>
      </c>
      <c r="I625" t="inlineStr">
        <is>
          <t>merged</t>
        </is>
      </c>
      <c r="J625" t="inlineStr">
        <is>
          <t>7fc1b229281d94f16bf4bf8a54f8e6c08485143c</t>
        </is>
      </c>
      <c r="K625">
        <f>HYPERLINK("http://gitlab.osmosys.co/incident-reporter/incident-reporter-angular-portal/-/merge_requests/3392#note_234288", "Updated")</f>
        <v/>
      </c>
      <c r="L625" t="inlineStr">
        <is>
          <t>2025-07-10 18:01:17.211 IST</t>
        </is>
      </c>
      <c r="M625" t="inlineStr">
        <is>
          <t>Aditya Chakraborty</t>
        </is>
      </c>
      <c r="N625" t="inlineStr">
        <is>
          <t>No</t>
        </is>
      </c>
      <c r="O625" t="inlineStr">
        <is>
          <t>Yes</t>
        </is>
      </c>
      <c r="P625" t="inlineStr">
        <is>
          <t>Soundariya B</t>
        </is>
      </c>
      <c r="Q625" t="inlineStr">
        <is>
          <t>Bad</t>
        </is>
      </c>
    </row>
    <row r="626">
      <c r="A626" t="inlineStr">
        <is>
          <t>aditya.c</t>
        </is>
      </c>
      <c r="B626" t="inlineStr">
        <is>
          <t>Aditya Chakraborty</t>
        </is>
      </c>
      <c r="C626" t="inlineStr">
        <is>
          <t>aditya.c@osmosys.co</t>
        </is>
      </c>
      <c r="D626" t="inlineStr">
        <is>
          <t>incident-reporter</t>
        </is>
      </c>
      <c r="E626">
        <f>HYPERLINK("http://gitlab.osmosys.co/incident-reporter/incident-reporter-angular-portal", "OQSHA Portal")</f>
        <v/>
      </c>
      <c r="F626">
        <f>HYPERLINK("http://gitlab.osmosys.co/incident-reporter/incident-reporter-angular-portal/-/merge_requests/3392", "feat: implement ptw copy feature")</f>
        <v/>
      </c>
      <c r="G626" t="inlineStr">
        <is>
          <t>feat/ptw-copy</t>
        </is>
      </c>
      <c r="H626" t="inlineStr">
        <is>
          <t>sprint-18</t>
        </is>
      </c>
      <c r="I626" t="inlineStr">
        <is>
          <t>merged</t>
        </is>
      </c>
      <c r="J626" t="inlineStr">
        <is>
          <t>7fc1b229281d94f16bf4bf8a54f8e6c08485143c</t>
        </is>
      </c>
      <c r="K626">
        <f>HYPERLINK("http://gitlab.osmosys.co/incident-reporter/incident-reporter-angular-portal/-/merge_requests/3392#note_241456", "Still not yet fixed")</f>
        <v/>
      </c>
      <c r="L626" t="inlineStr">
        <is>
          <t>2025-07-24 17:07:43.770 IST</t>
        </is>
      </c>
      <c r="M626" t="inlineStr">
        <is>
          <t>Soundariya B</t>
        </is>
      </c>
      <c r="N626" t="inlineStr">
        <is>
          <t>Yes</t>
        </is>
      </c>
      <c r="O626" t="inlineStr">
        <is>
          <t>Yes</t>
        </is>
      </c>
      <c r="P626" t="inlineStr">
        <is>
          <t>Soundariya B</t>
        </is>
      </c>
      <c r="Q626" t="inlineStr">
        <is>
          <t>Bad</t>
        </is>
      </c>
    </row>
    <row r="627">
      <c r="A627" t="inlineStr">
        <is>
          <t>aditya.c</t>
        </is>
      </c>
      <c r="B627" t="inlineStr">
        <is>
          <t>Aditya Chakraborty</t>
        </is>
      </c>
      <c r="C627" t="inlineStr">
        <is>
          <t>aditya.c@osmosys.co</t>
        </is>
      </c>
      <c r="D627" t="inlineStr">
        <is>
          <t>incident-reporter</t>
        </is>
      </c>
      <c r="E627">
        <f>HYPERLINK("http://gitlab.osmosys.co/incident-reporter/incident-reporter-angular-portal", "OQSHA Portal")</f>
        <v/>
      </c>
      <c r="F627">
        <f>HYPERLINK("http://gitlab.osmosys.co/incident-reporter/incident-reporter-angular-portal/-/merge_requests/3392", "feat: implement ptw copy feature")</f>
        <v/>
      </c>
      <c r="G627" t="inlineStr">
        <is>
          <t>feat/ptw-copy</t>
        </is>
      </c>
      <c r="H627" t="inlineStr">
        <is>
          <t>sprint-18</t>
        </is>
      </c>
      <c r="I627" t="inlineStr">
        <is>
          <t>merged</t>
        </is>
      </c>
      <c r="J627" t="inlineStr">
        <is>
          <t>327194851dfcc124348ff4e54c457999985ffafb</t>
        </is>
      </c>
      <c r="K627">
        <f>HYPERLINK("http://gitlab.osmosys.co/incident-reporter/incident-reporter-angular-portal/-/merge_requests/3392#note_233820", "Catch or error block is missing")</f>
        <v/>
      </c>
      <c r="L627" t="inlineStr">
        <is>
          <t>2025-07-09 21:37:27.313 IST</t>
        </is>
      </c>
      <c r="M627" t="inlineStr">
        <is>
          <t>Soundariya B</t>
        </is>
      </c>
      <c r="N627" t="inlineStr">
        <is>
          <t>Yes</t>
        </is>
      </c>
      <c r="O627" t="inlineStr">
        <is>
          <t>Yes</t>
        </is>
      </c>
      <c r="P627" t="inlineStr">
        <is>
          <t>Soundariya B</t>
        </is>
      </c>
      <c r="Q627" t="inlineStr">
        <is>
          <t>Bad</t>
        </is>
      </c>
    </row>
    <row r="628">
      <c r="A628" t="inlineStr">
        <is>
          <t>aditya.c</t>
        </is>
      </c>
      <c r="B628" t="inlineStr">
        <is>
          <t>Aditya Chakraborty</t>
        </is>
      </c>
      <c r="C628" t="inlineStr">
        <is>
          <t>aditya.c@osmosys.co</t>
        </is>
      </c>
      <c r="D628" t="inlineStr">
        <is>
          <t>incident-reporter</t>
        </is>
      </c>
      <c r="E628">
        <f>HYPERLINK("http://gitlab.osmosys.co/incident-reporter/incident-reporter-angular-portal", "OQSHA Portal")</f>
        <v/>
      </c>
      <c r="F628">
        <f>HYPERLINK("http://gitlab.osmosys.co/incident-reporter/incident-reporter-angular-portal/-/merge_requests/3392", "feat: implement ptw copy feature")</f>
        <v/>
      </c>
      <c r="G628" t="inlineStr">
        <is>
          <t>feat/ptw-copy</t>
        </is>
      </c>
      <c r="H628" t="inlineStr">
        <is>
          <t>sprint-18</t>
        </is>
      </c>
      <c r="I628" t="inlineStr">
        <is>
          <t>merged</t>
        </is>
      </c>
      <c r="J628" t="inlineStr">
        <is>
          <t>327194851dfcc124348ff4e54c457999985ffafb</t>
        </is>
      </c>
      <c r="K628">
        <f>HYPERLINK("http://gitlab.osmosys.co/incident-reporter/incident-reporter-angular-portal/-/merge_requests/3392#note_234289", "Updated")</f>
        <v/>
      </c>
      <c r="L628" t="inlineStr">
        <is>
          <t>2025-07-10 18:01:23.859 IST</t>
        </is>
      </c>
      <c r="M628" t="inlineStr">
        <is>
          <t>Aditya Chakraborty</t>
        </is>
      </c>
      <c r="N628" t="inlineStr">
        <is>
          <t>No</t>
        </is>
      </c>
      <c r="O628" t="inlineStr">
        <is>
          <t>Yes</t>
        </is>
      </c>
      <c r="P628" t="inlineStr">
        <is>
          <t>Soundariya B</t>
        </is>
      </c>
      <c r="Q628" t="inlineStr">
        <is>
          <t>Bad</t>
        </is>
      </c>
    </row>
    <row r="629">
      <c r="A629" t="inlineStr">
        <is>
          <t>aditya.c</t>
        </is>
      </c>
      <c r="B629" t="inlineStr">
        <is>
          <t>Aditya Chakraborty</t>
        </is>
      </c>
      <c r="C629" t="inlineStr">
        <is>
          <t>aditya.c@osmosys.co</t>
        </is>
      </c>
      <c r="D629" t="inlineStr">
        <is>
          <t>incident-reporter</t>
        </is>
      </c>
      <c r="E629">
        <f>HYPERLINK("http://gitlab.osmosys.co/incident-reporter/incident-reporter-angular-portal", "OQSHA Portal")</f>
        <v/>
      </c>
      <c r="F629">
        <f>HYPERLINK("http://gitlab.osmosys.co/incident-reporter/incident-reporter-angular-portal/-/merge_requests/3392", "feat: implement ptw copy feature")</f>
        <v/>
      </c>
      <c r="G629" t="inlineStr">
        <is>
          <t>feat/ptw-copy</t>
        </is>
      </c>
      <c r="H629" t="inlineStr">
        <is>
          <t>sprint-18</t>
        </is>
      </c>
      <c r="I629" t="inlineStr">
        <is>
          <t>merged</t>
        </is>
      </c>
      <c r="J629" t="inlineStr">
        <is>
          <t>327194851dfcc124348ff4e54c457999985ffafb</t>
        </is>
      </c>
      <c r="K629">
        <f>HYPERLINK("http://gitlab.osmosys.co/incident-reporter/incident-reporter-angular-portal/-/merge_requests/3392#note_241457", "Still not yet fixed")</f>
        <v/>
      </c>
      <c r="L629" t="inlineStr">
        <is>
          <t>2025-07-24 17:09:34.063 IST</t>
        </is>
      </c>
      <c r="M629" t="inlineStr">
        <is>
          <t>Soundariya B</t>
        </is>
      </c>
      <c r="N629" t="inlineStr">
        <is>
          <t>Yes</t>
        </is>
      </c>
      <c r="O629" t="inlineStr">
        <is>
          <t>Yes</t>
        </is>
      </c>
      <c r="P629" t="inlineStr">
        <is>
          <t>Soundariya B</t>
        </is>
      </c>
      <c r="Q629" t="inlineStr">
        <is>
          <t>Bad</t>
        </is>
      </c>
    </row>
    <row r="630">
      <c r="A630" t="inlineStr">
        <is>
          <t>aditya.c</t>
        </is>
      </c>
      <c r="B630" t="inlineStr">
        <is>
          <t>Aditya Chakraborty</t>
        </is>
      </c>
      <c r="C630" t="inlineStr">
        <is>
          <t>aditya.c@osmosys.co</t>
        </is>
      </c>
      <c r="D630" t="inlineStr">
        <is>
          <t>incident-reporter</t>
        </is>
      </c>
      <c r="E630">
        <f>HYPERLINK("http://gitlab.osmosys.co/incident-reporter/incident-reporter-angular-portal", "OQSHA Portal")</f>
        <v/>
      </c>
      <c r="F630">
        <f>HYPERLINK("http://gitlab.osmosys.co/incident-reporter/incident-reporter-angular-portal/-/merge_requests/3392", "feat: implement ptw copy feature")</f>
        <v/>
      </c>
      <c r="G630" t="inlineStr">
        <is>
          <t>feat/ptw-copy</t>
        </is>
      </c>
      <c r="H630" t="inlineStr">
        <is>
          <t>sprint-18</t>
        </is>
      </c>
      <c r="I630" t="inlineStr">
        <is>
          <t>merged</t>
        </is>
      </c>
      <c r="J630" t="inlineStr">
        <is>
          <t>4e7735dff865ac5c776522bbd2f3d5f75678898c</t>
        </is>
      </c>
      <c r="K630">
        <f>HYPERLINK("http://gitlab.osmosys.co/incident-reporter/incident-reporter-angular-portal/-/merge_requests/3392#note_233821", "Use block structure")</f>
        <v/>
      </c>
      <c r="L630" t="inlineStr">
        <is>
          <t>2025-07-09 21:37:27.366 IST</t>
        </is>
      </c>
      <c r="M630" t="inlineStr">
        <is>
          <t>Soundariya B</t>
        </is>
      </c>
      <c r="N630" t="inlineStr">
        <is>
          <t>Yes</t>
        </is>
      </c>
      <c r="O630" t="inlineStr">
        <is>
          <t>Yes</t>
        </is>
      </c>
      <c r="P630" t="inlineStr">
        <is>
          <t>Soundariya B</t>
        </is>
      </c>
      <c r="Q630" t="inlineStr">
        <is>
          <t>Bad</t>
        </is>
      </c>
    </row>
    <row r="631">
      <c r="A631" t="inlineStr">
        <is>
          <t>aditya.c</t>
        </is>
      </c>
      <c r="B631" t="inlineStr">
        <is>
          <t>Aditya Chakraborty</t>
        </is>
      </c>
      <c r="C631" t="inlineStr">
        <is>
          <t>aditya.c@osmosys.co</t>
        </is>
      </c>
      <c r="D631" t="inlineStr">
        <is>
          <t>incident-reporter</t>
        </is>
      </c>
      <c r="E631">
        <f>HYPERLINK("http://gitlab.osmosys.co/incident-reporter/incident-reporter-angular-portal", "OQSHA Portal")</f>
        <v/>
      </c>
      <c r="F631">
        <f>HYPERLINK("http://gitlab.osmosys.co/incident-reporter/incident-reporter-angular-portal/-/merge_requests/3392", "feat: implement ptw copy feature")</f>
        <v/>
      </c>
      <c r="G631" t="inlineStr">
        <is>
          <t>feat/ptw-copy</t>
        </is>
      </c>
      <c r="H631" t="inlineStr">
        <is>
          <t>sprint-18</t>
        </is>
      </c>
      <c r="I631" t="inlineStr">
        <is>
          <t>merged</t>
        </is>
      </c>
      <c r="J631" t="inlineStr">
        <is>
          <t>16ab3fb3574501d3d560b3da083a47d2acbadc57</t>
        </is>
      </c>
      <c r="K631">
        <f>HYPERLINK("http://gitlab.osmosys.co/incident-reporter/incident-reporter-angular-portal/-/merge_requests/3392#note_233822", "You can easily extract as defaultFields into a utility or reuse it across the app.
```
this.workPermitData = {
  ...sourceData,
  ...defaultFields,
};
```")</f>
        <v/>
      </c>
      <c r="L631" t="inlineStr">
        <is>
          <t>2025-07-09 21:37:27.422 IST</t>
        </is>
      </c>
      <c r="M631" t="inlineStr">
        <is>
          <t>Soundariya B</t>
        </is>
      </c>
      <c r="N631" t="inlineStr">
        <is>
          <t>Yes</t>
        </is>
      </c>
      <c r="O631" t="inlineStr">
        <is>
          <t>Yes</t>
        </is>
      </c>
      <c r="P631" t="inlineStr">
        <is>
          <t>Soundariya B</t>
        </is>
      </c>
      <c r="Q631" t="inlineStr">
        <is>
          <t>Bad</t>
        </is>
      </c>
    </row>
    <row r="632">
      <c r="A632" t="inlineStr">
        <is>
          <t>aditya.c</t>
        </is>
      </c>
      <c r="B632" t="inlineStr">
        <is>
          <t>Aditya Chakraborty</t>
        </is>
      </c>
      <c r="C632" t="inlineStr">
        <is>
          <t>aditya.c@osmosys.co</t>
        </is>
      </c>
      <c r="D632" t="inlineStr">
        <is>
          <t>incident-reporter</t>
        </is>
      </c>
      <c r="E632">
        <f>HYPERLINK("http://gitlab.osmosys.co/incident-reporter/incident-reporter-angular-portal", "OQSHA Portal")</f>
        <v/>
      </c>
      <c r="F632">
        <f>HYPERLINK("http://gitlab.osmosys.co/incident-reporter/incident-reporter-angular-portal/-/merge_requests/3392", "feat: implement ptw copy feature")</f>
        <v/>
      </c>
      <c r="G632" t="inlineStr">
        <is>
          <t>feat/ptw-copy</t>
        </is>
      </c>
      <c r="H632" t="inlineStr">
        <is>
          <t>sprint-18</t>
        </is>
      </c>
      <c r="I632" t="inlineStr">
        <is>
          <t>merged</t>
        </is>
      </c>
      <c r="J632" t="inlineStr">
        <is>
          <t>16ab3fb3574501d3d560b3da083a47d2acbadc57</t>
        </is>
      </c>
      <c r="K632">
        <f>HYPERLINK("http://gitlab.osmosys.co/incident-reporter/incident-reporter-angular-portal/-/merge_requests/3392#note_234192", "I am using it only once")</f>
        <v/>
      </c>
      <c r="L632" t="inlineStr">
        <is>
          <t>2025-07-10 16:38:18.581 IST</t>
        </is>
      </c>
      <c r="M632" t="inlineStr">
        <is>
          <t>Aditya Chakraborty</t>
        </is>
      </c>
      <c r="N632" t="inlineStr">
        <is>
          <t>No</t>
        </is>
      </c>
      <c r="O632" t="inlineStr">
        <is>
          <t>Yes</t>
        </is>
      </c>
      <c r="P632" t="inlineStr">
        <is>
          <t>Soundariya B</t>
        </is>
      </c>
      <c r="Q632" t="inlineStr">
        <is>
          <t>Bad</t>
        </is>
      </c>
    </row>
    <row r="633">
      <c r="A633" t="inlineStr">
        <is>
          <t>aditya.c</t>
        </is>
      </c>
      <c r="B633" t="inlineStr">
        <is>
          <t>Aditya Chakraborty</t>
        </is>
      </c>
      <c r="C633" t="inlineStr">
        <is>
          <t>aditya.c@osmosys.co</t>
        </is>
      </c>
      <c r="D633" t="inlineStr">
        <is>
          <t>incident-reporter</t>
        </is>
      </c>
      <c r="E633">
        <f>HYPERLINK("http://gitlab.osmosys.co/incident-reporter/incident-reporter-angular-portal", "OQSHA Portal")</f>
        <v/>
      </c>
      <c r="F633">
        <f>HYPERLINK("http://gitlab.osmosys.co/incident-reporter/incident-reporter-angular-portal/-/merge_requests/3392", "feat: implement ptw copy feature")</f>
        <v/>
      </c>
      <c r="G633" t="inlineStr">
        <is>
          <t>feat/ptw-copy</t>
        </is>
      </c>
      <c r="H633" t="inlineStr">
        <is>
          <t>sprint-18</t>
        </is>
      </c>
      <c r="I633" t="inlineStr">
        <is>
          <t>merged</t>
        </is>
      </c>
      <c r="J633" t="inlineStr">
        <is>
          <t>4c2f72fdf6aaaa72bdaf2ba6ec71cfa8b9bfe550</t>
        </is>
      </c>
      <c r="K633">
        <f>HYPERLINK("http://gitlab.osmosys.co/incident-reporter/incident-reporter-angular-portal/-/merge_requests/3392#note_233823", "Take routes from constant file")</f>
        <v/>
      </c>
      <c r="L633" t="inlineStr">
        <is>
          <t>2025-07-09 21:37:27.482 IST</t>
        </is>
      </c>
      <c r="M633" t="inlineStr">
        <is>
          <t>Soundariya B</t>
        </is>
      </c>
      <c r="N633" t="inlineStr">
        <is>
          <t>Yes</t>
        </is>
      </c>
      <c r="O633" t="inlineStr">
        <is>
          <t>Yes</t>
        </is>
      </c>
      <c r="P633" t="inlineStr">
        <is>
          <t>Soundariya B</t>
        </is>
      </c>
      <c r="Q633" t="inlineStr">
        <is>
          <t>Bad</t>
        </is>
      </c>
    </row>
    <row r="634">
      <c r="A634" t="inlineStr">
        <is>
          <t>aditya.c</t>
        </is>
      </c>
      <c r="B634" t="inlineStr">
        <is>
          <t>Aditya Chakraborty</t>
        </is>
      </c>
      <c r="C634" t="inlineStr">
        <is>
          <t>aditya.c@osmosys.co</t>
        </is>
      </c>
      <c r="D634" t="inlineStr">
        <is>
          <t>incident-reporter</t>
        </is>
      </c>
      <c r="E634">
        <f>HYPERLINK("http://gitlab.osmosys.co/incident-reporter/incident-reporter-angular-portal", "OQSHA Portal")</f>
        <v/>
      </c>
      <c r="F634">
        <f>HYPERLINK("http://gitlab.osmosys.co/incident-reporter/incident-reporter-angular-portal/-/merge_requests/3392", "feat: implement ptw copy feature")</f>
        <v/>
      </c>
      <c r="G634" t="inlineStr">
        <is>
          <t>feat/ptw-copy</t>
        </is>
      </c>
      <c r="H634" t="inlineStr">
        <is>
          <t>sprint-18</t>
        </is>
      </c>
      <c r="I634" t="inlineStr">
        <is>
          <t>merged</t>
        </is>
      </c>
      <c r="J634" t="inlineStr">
        <is>
          <t>4c2f72fdf6aaaa72bdaf2ba6ec71cfa8b9bfe550</t>
        </is>
      </c>
      <c r="K634">
        <f>HYPERLINK("http://gitlab.osmosys.co/incident-reporter/incident-reporter-angular-portal/-/merge_requests/3392#note_241421", "What is this name PTW_New? It should be Add_PTW right? Please give the meaningful name of key or any label")</f>
        <v/>
      </c>
      <c r="L634" t="inlineStr">
        <is>
          <t>2025-07-24 16:21:29.359 IST</t>
        </is>
      </c>
      <c r="M634" t="inlineStr">
        <is>
          <t>Soundariya B</t>
        </is>
      </c>
      <c r="N634" t="inlineStr">
        <is>
          <t>Yes</t>
        </is>
      </c>
      <c r="O634" t="inlineStr">
        <is>
          <t>Yes</t>
        </is>
      </c>
      <c r="P634" t="inlineStr">
        <is>
          <t>Soundariya B</t>
        </is>
      </c>
      <c r="Q634" t="inlineStr">
        <is>
          <t>Bad</t>
        </is>
      </c>
    </row>
    <row r="635">
      <c r="A635" t="inlineStr">
        <is>
          <t>aditya.c</t>
        </is>
      </c>
      <c r="B635" t="inlineStr">
        <is>
          <t>Aditya Chakraborty</t>
        </is>
      </c>
      <c r="C635" t="inlineStr">
        <is>
          <t>aditya.c@osmosys.co</t>
        </is>
      </c>
      <c r="D635" t="inlineStr">
        <is>
          <t>incident-reporter</t>
        </is>
      </c>
      <c r="E635">
        <f>HYPERLINK("http://gitlab.osmosys.co/incident-reporter/incident-reporter-angular-portal", "OQSHA Portal")</f>
        <v/>
      </c>
      <c r="F635">
        <f>HYPERLINK("http://gitlab.osmosys.co/incident-reporter/incident-reporter-angular-portal/-/merge_requests/3392", "feat: implement ptw copy feature")</f>
        <v/>
      </c>
      <c r="G635" t="inlineStr">
        <is>
          <t>feat/ptw-copy</t>
        </is>
      </c>
      <c r="H635" t="inlineStr">
        <is>
          <t>sprint-18</t>
        </is>
      </c>
      <c r="I635" t="inlineStr">
        <is>
          <t>merged</t>
        </is>
      </c>
      <c r="J635" t="inlineStr">
        <is>
          <t>4c2f72fdf6aaaa72bdaf2ba6ec71cfa8b9bfe550</t>
        </is>
      </c>
      <c r="K635">
        <f>HYPERLINK("http://gitlab.osmosys.co/incident-reporter/incident-reporter-angular-portal/-/merge_requests/3392#note_241611", "Because the path is `work-permit/new`")</f>
        <v/>
      </c>
      <c r="L635" t="inlineStr">
        <is>
          <t>2025-07-24 22:55:59.003 IST</t>
        </is>
      </c>
      <c r="M635" t="inlineStr">
        <is>
          <t>Aditya Chakraborty</t>
        </is>
      </c>
      <c r="N635" t="inlineStr">
        <is>
          <t>No</t>
        </is>
      </c>
      <c r="O635" t="inlineStr">
        <is>
          <t>Yes</t>
        </is>
      </c>
      <c r="P635" t="inlineStr">
        <is>
          <t>Soundariya B</t>
        </is>
      </c>
      <c r="Q635" t="inlineStr">
        <is>
          <t>Bad</t>
        </is>
      </c>
    </row>
    <row r="636">
      <c r="A636" t="inlineStr">
        <is>
          <t>aditya.c</t>
        </is>
      </c>
      <c r="B636" t="inlineStr">
        <is>
          <t>Aditya Chakraborty</t>
        </is>
      </c>
      <c r="C636" t="inlineStr">
        <is>
          <t>aditya.c@osmosys.co</t>
        </is>
      </c>
      <c r="D636" t="inlineStr">
        <is>
          <t>incident-reporter</t>
        </is>
      </c>
      <c r="E636">
        <f>HYPERLINK("http://gitlab.osmosys.co/incident-reporter/incident-reporter-angular-portal", "OQSHA Portal")</f>
        <v/>
      </c>
      <c r="F636">
        <f>HYPERLINK("http://gitlab.osmosys.co/incident-reporter/incident-reporter-angular-portal/-/merge_requests/3392", "feat: implement ptw copy feature")</f>
        <v/>
      </c>
      <c r="G636" t="inlineStr">
        <is>
          <t>feat/ptw-copy</t>
        </is>
      </c>
      <c r="H636" t="inlineStr">
        <is>
          <t>sprint-18</t>
        </is>
      </c>
      <c r="I636" t="inlineStr">
        <is>
          <t>merged</t>
        </is>
      </c>
      <c r="J636" t="inlineStr">
        <is>
          <t>793505281f5acf5e5f1a7ddb437ebd525078a0c8</t>
        </is>
      </c>
      <c r="K636">
        <f>HYPERLINK("http://gitlab.osmosys.co/incident-reporter/incident-reporter-angular-portal/-/merge_requests/3392#note_233824", "Same here")</f>
        <v/>
      </c>
      <c r="L636" t="inlineStr">
        <is>
          <t>2025-07-09 21:37:27.548 IST</t>
        </is>
      </c>
      <c r="M636" t="inlineStr">
        <is>
          <t>Soundariya B</t>
        </is>
      </c>
      <c r="N636" t="inlineStr">
        <is>
          <t>Yes</t>
        </is>
      </c>
      <c r="O636" t="inlineStr">
        <is>
          <t>Yes</t>
        </is>
      </c>
      <c r="P636" t="inlineStr">
        <is>
          <t>Soundariya B</t>
        </is>
      </c>
      <c r="Q636" t="inlineStr">
        <is>
          <t>Bad</t>
        </is>
      </c>
    </row>
    <row r="637">
      <c r="A637" t="inlineStr">
        <is>
          <t>aditya.c</t>
        </is>
      </c>
      <c r="B637" t="inlineStr">
        <is>
          <t>Aditya Chakraborty</t>
        </is>
      </c>
      <c r="C637" t="inlineStr">
        <is>
          <t>aditya.c@osmosys.co</t>
        </is>
      </c>
      <c r="D637" t="inlineStr">
        <is>
          <t>incident-reporter</t>
        </is>
      </c>
      <c r="E637">
        <f>HYPERLINK("http://gitlab.osmosys.co/incident-reporter/incident-reporter-angular-portal", "OQSHA Portal")</f>
        <v/>
      </c>
      <c r="F637">
        <f>HYPERLINK("http://gitlab.osmosys.co/incident-reporter/incident-reporter-angular-portal/-/merge_requests/3392", "feat: implement ptw copy feature")</f>
        <v/>
      </c>
      <c r="G637" t="inlineStr">
        <is>
          <t>feat/ptw-copy</t>
        </is>
      </c>
      <c r="H637" t="inlineStr">
        <is>
          <t>sprint-18</t>
        </is>
      </c>
      <c r="I637" t="inlineStr">
        <is>
          <t>merged</t>
        </is>
      </c>
      <c r="J637" t="inlineStr">
        <is>
          <t>6ce8f88ffe5c74ac2a54567d9fb6a4badb69b74d</t>
        </is>
      </c>
      <c r="K637">
        <f>HYPERLINK("http://gitlab.osmosys.co/incident-reporter/incident-reporter-angular-portal/-/merge_requests/3392#note_233825", "Same here")</f>
        <v/>
      </c>
      <c r="L637" t="inlineStr">
        <is>
          <t>2025-07-09 21:37:27.606 IST</t>
        </is>
      </c>
      <c r="M637" t="inlineStr">
        <is>
          <t>Soundariya B</t>
        </is>
      </c>
      <c r="N637" t="inlineStr">
        <is>
          <t>Yes</t>
        </is>
      </c>
      <c r="O637" t="inlineStr">
        <is>
          <t>Yes</t>
        </is>
      </c>
      <c r="P637" t="inlineStr">
        <is>
          <t>Soundariya B</t>
        </is>
      </c>
      <c r="Q637" t="inlineStr">
        <is>
          <t>Bad</t>
        </is>
      </c>
    </row>
    <row r="638">
      <c r="A638" t="inlineStr">
        <is>
          <t>aditya.c</t>
        </is>
      </c>
      <c r="B638" t="inlineStr">
        <is>
          <t>Aditya Chakraborty</t>
        </is>
      </c>
      <c r="C638" t="inlineStr">
        <is>
          <t>aditya.c@osmosys.co</t>
        </is>
      </c>
      <c r="D638" t="inlineStr">
        <is>
          <t>incident-reporter</t>
        </is>
      </c>
      <c r="E638">
        <f>HYPERLINK("http://gitlab.osmosys.co/incident-reporter/incident-reporter-angular-portal", "OQSHA Portal")</f>
        <v/>
      </c>
      <c r="F638">
        <f>HYPERLINK("http://gitlab.osmosys.co/incident-reporter/incident-reporter-angular-portal/-/merge_requests/3392", "feat: implement ptw copy feature")</f>
        <v/>
      </c>
      <c r="G638" t="inlineStr">
        <is>
          <t>feat/ptw-copy</t>
        </is>
      </c>
      <c r="H638" t="inlineStr">
        <is>
          <t>sprint-18</t>
        </is>
      </c>
      <c r="I638" t="inlineStr">
        <is>
          <t>merged</t>
        </is>
      </c>
      <c r="J638" t="inlineStr">
        <is>
          <t>586d6e7d9f157883416ceac72e74184a08118d56</t>
        </is>
      </c>
      <c r="K638">
        <f>HYPERLINK("http://gitlab.osmosys.co/incident-reporter/incident-reporter-angular-portal/-/merge_requests/3392#note_233826", "Use meaningful variable name")</f>
        <v/>
      </c>
      <c r="L638" t="inlineStr">
        <is>
          <t>2025-07-09 21:37:27.661 IST</t>
        </is>
      </c>
      <c r="M638" t="inlineStr">
        <is>
          <t>Soundariya B</t>
        </is>
      </c>
      <c r="N638" t="inlineStr">
        <is>
          <t>Yes</t>
        </is>
      </c>
      <c r="O638" t="inlineStr">
        <is>
          <t>Yes</t>
        </is>
      </c>
      <c r="P638" t="inlineStr">
        <is>
          <t>Soundariya B</t>
        </is>
      </c>
      <c r="Q638" t="inlineStr">
        <is>
          <t>Bad</t>
        </is>
      </c>
    </row>
    <row r="639">
      <c r="A639" t="inlineStr">
        <is>
          <t>aditya.c</t>
        </is>
      </c>
      <c r="B639" t="inlineStr">
        <is>
          <t>Aditya Chakraborty</t>
        </is>
      </c>
      <c r="C639" t="inlineStr">
        <is>
          <t>aditya.c@osmosys.co</t>
        </is>
      </c>
      <c r="D639" t="inlineStr">
        <is>
          <t>incident-reporter</t>
        </is>
      </c>
      <c r="E639">
        <f>HYPERLINK("http://gitlab.osmosys.co/incident-reporter/incident-reporter-angular-portal", "OQSHA Portal")</f>
        <v/>
      </c>
      <c r="F639">
        <f>HYPERLINK("http://gitlab.osmosys.co/incident-reporter/incident-reporter-angular-portal/-/merge_requests/3392", "feat: implement ptw copy feature")</f>
        <v/>
      </c>
      <c r="G639" t="inlineStr">
        <is>
          <t>feat/ptw-copy</t>
        </is>
      </c>
      <c r="H639" t="inlineStr">
        <is>
          <t>sprint-18</t>
        </is>
      </c>
      <c r="I639" t="inlineStr">
        <is>
          <t>merged</t>
        </is>
      </c>
      <c r="J639" t="inlineStr">
        <is>
          <t>6a0078c647ea2e87f67e072022d210a94fac76fc</t>
        </is>
      </c>
      <c r="K639">
        <f>HYPERLINK("http://gitlab.osmosys.co/incident-reporter/incident-reporter-angular-portal/-/merge_requests/3392#note_233827", "Same here")</f>
        <v/>
      </c>
      <c r="L639" t="inlineStr">
        <is>
          <t>2025-07-09 21:37:27.717 IST</t>
        </is>
      </c>
      <c r="M639" t="inlineStr">
        <is>
          <t>Soundariya B</t>
        </is>
      </c>
      <c r="N639" t="inlineStr">
        <is>
          <t>Yes</t>
        </is>
      </c>
      <c r="O639" t="inlineStr">
        <is>
          <t>Yes</t>
        </is>
      </c>
      <c r="P639" t="inlineStr">
        <is>
          <t>Soundariya B</t>
        </is>
      </c>
      <c r="Q639" t="inlineStr">
        <is>
          <t>Bad</t>
        </is>
      </c>
    </row>
    <row r="640">
      <c r="A640" t="inlineStr">
        <is>
          <t>aditya.c</t>
        </is>
      </c>
      <c r="B640" t="inlineStr">
        <is>
          <t>Aditya Chakraborty</t>
        </is>
      </c>
      <c r="C640" t="inlineStr">
        <is>
          <t>aditya.c@osmosys.co</t>
        </is>
      </c>
      <c r="D640" t="inlineStr">
        <is>
          <t>incident-reporter</t>
        </is>
      </c>
      <c r="E640">
        <f>HYPERLINK("http://gitlab.osmosys.co/incident-reporter/incident-reporter-angular-portal", "OQSHA Portal")</f>
        <v/>
      </c>
      <c r="F640">
        <f>HYPERLINK("http://gitlab.osmosys.co/incident-reporter/incident-reporter-angular-portal/-/merge_requests/3392", "feat: implement ptw copy feature")</f>
        <v/>
      </c>
      <c r="G640" t="inlineStr">
        <is>
          <t>feat/ptw-copy</t>
        </is>
      </c>
      <c r="H640" t="inlineStr">
        <is>
          <t>sprint-18</t>
        </is>
      </c>
      <c r="I640" t="inlineStr">
        <is>
          <t>merged</t>
        </is>
      </c>
      <c r="J640" t="inlineStr">
        <is>
          <t>bbcfe0f95a011cfbd1103476e40637b1d37af256</t>
        </is>
      </c>
      <c r="K640">
        <f>HYPERLINK("http://gitlab.osmosys.co/incident-reporter/incident-reporter-angular-portal/-/merge_requests/3392#note_233828", "Bad indentiation")</f>
        <v/>
      </c>
      <c r="L640" t="inlineStr">
        <is>
          <t>2025-07-09 21:37:27.773 IST</t>
        </is>
      </c>
      <c r="M640" t="inlineStr">
        <is>
          <t>Soundariya B</t>
        </is>
      </c>
      <c r="N640" t="inlineStr">
        <is>
          <t>Yes</t>
        </is>
      </c>
      <c r="O640" t="inlineStr">
        <is>
          <t>Yes</t>
        </is>
      </c>
      <c r="P640" t="inlineStr">
        <is>
          <t>Soundariya B</t>
        </is>
      </c>
      <c r="Q640" t="inlineStr">
        <is>
          <t>Bad</t>
        </is>
      </c>
    </row>
    <row r="641">
      <c r="A641" t="inlineStr">
        <is>
          <t>aditya.c</t>
        </is>
      </c>
      <c r="B641" t="inlineStr">
        <is>
          <t>Aditya Chakraborty</t>
        </is>
      </c>
      <c r="C641" t="inlineStr">
        <is>
          <t>aditya.c@osmosys.co</t>
        </is>
      </c>
      <c r="D641" t="inlineStr">
        <is>
          <t>incident-reporter</t>
        </is>
      </c>
      <c r="E641">
        <f>HYPERLINK("http://gitlab.osmosys.co/incident-reporter/incident-reporter-angular-portal", "OQSHA Portal")</f>
        <v/>
      </c>
      <c r="F641">
        <f>HYPERLINK("http://gitlab.osmosys.co/incident-reporter/incident-reporter-angular-portal/-/merge_requests/3392", "feat: implement ptw copy feature")</f>
        <v/>
      </c>
      <c r="G641" t="inlineStr">
        <is>
          <t>feat/ptw-copy</t>
        </is>
      </c>
      <c r="H641" t="inlineStr">
        <is>
          <t>sprint-18</t>
        </is>
      </c>
      <c r="I641" t="inlineStr">
        <is>
          <t>merged</t>
        </is>
      </c>
      <c r="J641" t="inlineStr">
        <is>
          <t>bbcfe0f95a011cfbd1103476e40637b1d37af256</t>
        </is>
      </c>
      <c r="K641">
        <f>HYPERLINK("http://gitlab.osmosys.co/incident-reporter/incident-reporter-angular-portal/-/merge_requests/3392#note_234290", "Updated")</f>
        <v/>
      </c>
      <c r="L641" t="inlineStr">
        <is>
          <t>2025-07-10 18:01:41.458 IST</t>
        </is>
      </c>
      <c r="M641" t="inlineStr">
        <is>
          <t>Aditya Chakraborty</t>
        </is>
      </c>
      <c r="N641" t="inlineStr">
        <is>
          <t>No</t>
        </is>
      </c>
      <c r="O641" t="inlineStr">
        <is>
          <t>Yes</t>
        </is>
      </c>
      <c r="P641" t="inlineStr">
        <is>
          <t>Soundariya B</t>
        </is>
      </c>
      <c r="Q641" t="inlineStr">
        <is>
          <t>Bad</t>
        </is>
      </c>
    </row>
    <row r="642">
      <c r="A642" t="inlineStr">
        <is>
          <t>aditya.c</t>
        </is>
      </c>
      <c r="B642" t="inlineStr">
        <is>
          <t>Aditya Chakraborty</t>
        </is>
      </c>
      <c r="C642" t="inlineStr">
        <is>
          <t>aditya.c@osmosys.co</t>
        </is>
      </c>
      <c r="D642" t="inlineStr">
        <is>
          <t>incident-reporter</t>
        </is>
      </c>
      <c r="E642">
        <f>HYPERLINK("http://gitlab.osmosys.co/incident-reporter/incident-reporter-angular-portal", "OQSHA Portal")</f>
        <v/>
      </c>
      <c r="F642">
        <f>HYPERLINK("http://gitlab.osmosys.co/incident-reporter/incident-reporter-angular-portal/-/merge_requests/3392", "feat: implement ptw copy feature")</f>
        <v/>
      </c>
      <c r="G642" t="inlineStr">
        <is>
          <t>feat/ptw-copy</t>
        </is>
      </c>
      <c r="H642" t="inlineStr">
        <is>
          <t>sprint-18</t>
        </is>
      </c>
      <c r="I642" t="inlineStr">
        <is>
          <t>merged</t>
        </is>
      </c>
      <c r="J642" t="inlineStr">
        <is>
          <t>4a3477badbb443841fb9c06e08dc72f83ecf53a5</t>
        </is>
      </c>
      <c r="K642">
        <f>HYPERLINK("http://gitlab.osmosys.co/incident-reporter/incident-reporter-angular-portal/-/merge_requests/3392#note_233829", "Why these are not align in single line? I think the prettier or something else you are using so that giving this back formatting")</f>
        <v/>
      </c>
      <c r="L642" t="inlineStr">
        <is>
          <t>2025-07-09 21:37:27.829 IST</t>
        </is>
      </c>
      <c r="M642" t="inlineStr">
        <is>
          <t>Soundariya B</t>
        </is>
      </c>
      <c r="N642" t="inlineStr">
        <is>
          <t>Yes</t>
        </is>
      </c>
      <c r="O642" t="inlineStr">
        <is>
          <t>Yes</t>
        </is>
      </c>
      <c r="P642" t="inlineStr">
        <is>
          <t>Soundariya B</t>
        </is>
      </c>
      <c r="Q642" t="inlineStr">
        <is>
          <t>Bad</t>
        </is>
      </c>
    </row>
    <row r="643">
      <c r="A643" t="inlineStr">
        <is>
          <t>aditya.c</t>
        </is>
      </c>
      <c r="B643" t="inlineStr">
        <is>
          <t>Aditya Chakraborty</t>
        </is>
      </c>
      <c r="C643" t="inlineStr">
        <is>
          <t>aditya.c@osmosys.co</t>
        </is>
      </c>
      <c r="D643" t="inlineStr">
        <is>
          <t>incident-reporter</t>
        </is>
      </c>
      <c r="E643">
        <f>HYPERLINK("http://gitlab.osmosys.co/incident-reporter/incident-reporter-angular-portal", "OQSHA Portal")</f>
        <v/>
      </c>
      <c r="F643">
        <f>HYPERLINK("http://gitlab.osmosys.co/incident-reporter/incident-reporter-angular-portal/-/merge_requests/3392", "feat: implement ptw copy feature")</f>
        <v/>
      </c>
      <c r="G643" t="inlineStr">
        <is>
          <t>feat/ptw-copy</t>
        </is>
      </c>
      <c r="H643" t="inlineStr">
        <is>
          <t>sprint-18</t>
        </is>
      </c>
      <c r="I643" t="inlineStr">
        <is>
          <t>merged</t>
        </is>
      </c>
      <c r="J643" t="inlineStr">
        <is>
          <t>4a3477badbb443841fb9c06e08dc72f83ecf53a5</t>
        </is>
      </c>
      <c r="K643">
        <f>HYPERLINK("http://gitlab.osmosys.co/incident-reporter/incident-reporter-angular-portal/-/merge_requests/3392#note_234196", "I cannot change this")</f>
        <v/>
      </c>
      <c r="L643" t="inlineStr">
        <is>
          <t>2025-07-10 16:44:29.051 IST</t>
        </is>
      </c>
      <c r="M643" t="inlineStr">
        <is>
          <t>Aditya Chakraborty</t>
        </is>
      </c>
      <c r="N643" t="inlineStr">
        <is>
          <t>No</t>
        </is>
      </c>
      <c r="O643" t="inlineStr">
        <is>
          <t>Yes</t>
        </is>
      </c>
      <c r="P643" t="inlineStr">
        <is>
          <t>Soundariya B</t>
        </is>
      </c>
      <c r="Q643" t="inlineStr">
        <is>
          <t>Bad</t>
        </is>
      </c>
    </row>
    <row r="644">
      <c r="A644" t="inlineStr">
        <is>
          <t>aditya.c</t>
        </is>
      </c>
      <c r="B644" t="inlineStr">
        <is>
          <t>Aditya Chakraborty</t>
        </is>
      </c>
      <c r="C644" t="inlineStr">
        <is>
          <t>aditya.c@osmosys.co</t>
        </is>
      </c>
      <c r="D644" t="inlineStr">
        <is>
          <t>incident-reporter</t>
        </is>
      </c>
      <c r="E644">
        <f>HYPERLINK("http://gitlab.osmosys.co/incident-reporter/incident-reporter-angular-portal", "OQSHA Portal")</f>
        <v/>
      </c>
      <c r="F644">
        <f>HYPERLINK("http://gitlab.osmosys.co/incident-reporter/incident-reporter-angular-portal/-/merge_requests/3392", "feat: implement ptw copy feature")</f>
        <v/>
      </c>
      <c r="G644" t="inlineStr">
        <is>
          <t>feat/ptw-copy</t>
        </is>
      </c>
      <c r="H644" t="inlineStr">
        <is>
          <t>sprint-18</t>
        </is>
      </c>
      <c r="I644" t="inlineStr">
        <is>
          <t>merged</t>
        </is>
      </c>
      <c r="J644" t="inlineStr">
        <is>
          <t>f1252a231ffc9a9d09f90632f09b6ec128b4b21c</t>
        </is>
      </c>
      <c r="K644">
        <f>HYPERLINK("http://gitlab.osmosys.co/incident-reporter/incident-reporter-angular-portal/-/merge_requests/3392#note_233830", "Is this logic confirm from raj and also is this using in any other places? Is this confirm that it works in all timezones?")</f>
        <v/>
      </c>
      <c r="L644" t="inlineStr">
        <is>
          <t>2025-07-09 21:37:27.885 IST</t>
        </is>
      </c>
      <c r="M644" t="inlineStr">
        <is>
          <t>Soundariya B</t>
        </is>
      </c>
      <c r="N644" t="inlineStr">
        <is>
          <t>Yes</t>
        </is>
      </c>
      <c r="O644" t="inlineStr">
        <is>
          <t>Yes</t>
        </is>
      </c>
      <c r="P644" t="inlineStr">
        <is>
          <t>Soundariya B</t>
        </is>
      </c>
      <c r="Q644" t="inlineStr">
        <is>
          <t>Neutral</t>
        </is>
      </c>
    </row>
    <row r="645">
      <c r="A645" t="inlineStr">
        <is>
          <t>aditya.c</t>
        </is>
      </c>
      <c r="B645" t="inlineStr">
        <is>
          <t>Aditya Chakraborty</t>
        </is>
      </c>
      <c r="C645" t="inlineStr">
        <is>
          <t>aditya.c@osmosys.co</t>
        </is>
      </c>
      <c r="D645" t="inlineStr">
        <is>
          <t>incident-reporter</t>
        </is>
      </c>
      <c r="E645">
        <f>HYPERLINK("http://gitlab.osmosys.co/incident-reporter/incident-reporter-angular-portal", "OQSHA Portal")</f>
        <v/>
      </c>
      <c r="F645">
        <f>HYPERLINK("http://gitlab.osmosys.co/incident-reporter/incident-reporter-angular-portal/-/merge_requests/3392", "feat: implement ptw copy feature")</f>
        <v/>
      </c>
      <c r="G645" t="inlineStr">
        <is>
          <t>feat/ptw-copy</t>
        </is>
      </c>
      <c r="H645" t="inlineStr">
        <is>
          <t>sprint-18</t>
        </is>
      </c>
      <c r="I645" t="inlineStr">
        <is>
          <t>merged</t>
        </is>
      </c>
      <c r="J645" t="inlineStr">
        <is>
          <t>f1252a231ffc9a9d09f90632f09b6ec128b4b21c</t>
        </is>
      </c>
      <c r="K645">
        <f>HYPERLINK("http://gitlab.osmosys.co/incident-reporter/incident-reporter-angular-portal/-/merge_requests/3392#note_234261", "It will work for all timezones since we are setting the local time to 06:00 pm
![image](/uploads/b243bfc5a8d86976b5d42cd867c15259/image.png){width=984 height=309}")</f>
        <v/>
      </c>
      <c r="L645" t="inlineStr">
        <is>
          <t>2025-07-10 17:49:37.534 IST</t>
        </is>
      </c>
      <c r="M645" t="inlineStr">
        <is>
          <t>Aditya Chakraborty</t>
        </is>
      </c>
      <c r="N645" t="inlineStr">
        <is>
          <t>No</t>
        </is>
      </c>
      <c r="O645" t="inlineStr">
        <is>
          <t>Yes</t>
        </is>
      </c>
      <c r="P645" t="inlineStr">
        <is>
          <t>Soundariya B</t>
        </is>
      </c>
      <c r="Q645" t="inlineStr">
        <is>
          <t>Neutral</t>
        </is>
      </c>
    </row>
    <row r="646">
      <c r="A646" t="inlineStr">
        <is>
          <t>aditya.c</t>
        </is>
      </c>
      <c r="B646" t="inlineStr">
        <is>
          <t>Aditya Chakraborty</t>
        </is>
      </c>
      <c r="C646" t="inlineStr">
        <is>
          <t>aditya.c@osmosys.co</t>
        </is>
      </c>
      <c r="D646" t="inlineStr">
        <is>
          <t>incident-reporter</t>
        </is>
      </c>
      <c r="E646">
        <f>HYPERLINK("http://gitlab.osmosys.co/incident-reporter/incident-reporter-angular-portal", "OQSHA Portal")</f>
        <v/>
      </c>
      <c r="F646">
        <f>HYPERLINK("http://gitlab.osmosys.co/incident-reporter/incident-reporter-angular-portal/-/merge_requests/3392", "feat: implement ptw copy feature")</f>
        <v/>
      </c>
      <c r="G646" t="inlineStr">
        <is>
          <t>feat/ptw-copy</t>
        </is>
      </c>
      <c r="H646" t="inlineStr">
        <is>
          <t>sprint-18</t>
        </is>
      </c>
      <c r="I646" t="inlineStr">
        <is>
          <t>merged</t>
        </is>
      </c>
      <c r="J646" t="inlineStr">
        <is>
          <t>0268fd33a7a09ca14a1d755b336b34119b0a8242</t>
        </is>
      </c>
      <c r="K646">
        <f>HYPERLINK("http://gitlab.osmosys.co/incident-reporter/incident-reporter-angular-portal/-/merge_requests/3392#note_233831", "Please add comment in some of the lines and also possible to split the logic in small function as it hard to read code which reducing code readiablity")</f>
        <v/>
      </c>
      <c r="L646" t="inlineStr">
        <is>
          <t>2025-07-09 21:37:27.942 IST</t>
        </is>
      </c>
      <c r="M646" t="inlineStr">
        <is>
          <t>Soundariya B</t>
        </is>
      </c>
      <c r="N646" t="inlineStr">
        <is>
          <t>Yes</t>
        </is>
      </c>
      <c r="O646" t="inlineStr">
        <is>
          <t>Yes</t>
        </is>
      </c>
      <c r="P646" t="inlineStr">
        <is>
          <t>Soundariya B</t>
        </is>
      </c>
      <c r="Q646" t="inlineStr">
        <is>
          <t>Bad</t>
        </is>
      </c>
    </row>
    <row r="647">
      <c r="A647" t="inlineStr">
        <is>
          <t>aditya.c</t>
        </is>
      </c>
      <c r="B647" t="inlineStr">
        <is>
          <t>Aditya Chakraborty</t>
        </is>
      </c>
      <c r="C647" t="inlineStr">
        <is>
          <t>aditya.c@osmosys.co</t>
        </is>
      </c>
      <c r="D647" t="inlineStr">
        <is>
          <t>incident-reporter</t>
        </is>
      </c>
      <c r="E647">
        <f>HYPERLINK("http://gitlab.osmosys.co/incident-reporter/incident-reporter-angular-portal", "OQSHA Portal")</f>
        <v/>
      </c>
      <c r="F647">
        <f>HYPERLINK("http://gitlab.osmosys.co/incident-reporter/incident-reporter-angular-portal/-/merge_requests/3392", "feat: implement ptw copy feature")</f>
        <v/>
      </c>
      <c r="G647" t="inlineStr">
        <is>
          <t>feat/ptw-copy</t>
        </is>
      </c>
      <c r="H647" t="inlineStr">
        <is>
          <t>sprint-18</t>
        </is>
      </c>
      <c r="I647" t="inlineStr">
        <is>
          <t>merged</t>
        </is>
      </c>
      <c r="J647" t="inlineStr">
        <is>
          <t>0268fd33a7a09ca14a1d755b336b34119b0a8242</t>
        </is>
      </c>
      <c r="K647">
        <f>HYPERLINK("http://gitlab.osmosys.co/incident-reporter/incident-reporter-angular-portal/-/merge_requests/3392#note_234303", "Updated")</f>
        <v/>
      </c>
      <c r="L647" t="inlineStr">
        <is>
          <t>2025-07-10 18:16:54.248 IST</t>
        </is>
      </c>
      <c r="M647" t="inlineStr">
        <is>
          <t>Aditya Chakraborty</t>
        </is>
      </c>
      <c r="N647" t="inlineStr">
        <is>
          <t>No</t>
        </is>
      </c>
      <c r="O647" t="inlineStr">
        <is>
          <t>Yes</t>
        </is>
      </c>
      <c r="P647" t="inlineStr">
        <is>
          <t>Soundariya B</t>
        </is>
      </c>
      <c r="Q647" t="inlineStr">
        <is>
          <t>Bad</t>
        </is>
      </c>
    </row>
    <row r="648">
      <c r="A648" t="inlineStr">
        <is>
          <t>aditya.c</t>
        </is>
      </c>
      <c r="B648" t="inlineStr">
        <is>
          <t>Aditya Chakraborty</t>
        </is>
      </c>
      <c r="C648" t="inlineStr">
        <is>
          <t>aditya.c@osmosys.co</t>
        </is>
      </c>
      <c r="D648" t="inlineStr">
        <is>
          <t>incident-reporter</t>
        </is>
      </c>
      <c r="E648">
        <f>HYPERLINK("http://gitlab.osmosys.co/incident-reporter/incident-reporter-angular-portal", "OQSHA Portal")</f>
        <v/>
      </c>
      <c r="F648">
        <f>HYPERLINK("http://gitlab.osmosys.co/incident-reporter/incident-reporter-angular-portal/-/merge_requests/3392", "feat: implement ptw copy feature")</f>
        <v/>
      </c>
      <c r="G648" t="inlineStr">
        <is>
          <t>feat/ptw-copy</t>
        </is>
      </c>
      <c r="H648" t="inlineStr">
        <is>
          <t>sprint-18</t>
        </is>
      </c>
      <c r="I648" t="inlineStr">
        <is>
          <t>merged</t>
        </is>
      </c>
      <c r="J648" t="inlineStr">
        <is>
          <t>37e7d47d370b1e9789432d824fde980fe8bc6595</t>
        </is>
      </c>
      <c r="K648">
        <f>HYPERLINK("http://gitlab.osmosys.co/incident-reporter/incident-reporter-angular-portal/-/merge_requests/3392#note_233832", "Catch or error block is missing for this")</f>
        <v/>
      </c>
      <c r="L648" t="inlineStr">
        <is>
          <t>2025-07-09 21:37:28.002 IST</t>
        </is>
      </c>
      <c r="M648" t="inlineStr">
        <is>
          <t>Soundariya B</t>
        </is>
      </c>
      <c r="N648" t="inlineStr">
        <is>
          <t>Yes</t>
        </is>
      </c>
      <c r="O648" t="inlineStr">
        <is>
          <t>Yes</t>
        </is>
      </c>
      <c r="P648" t="inlineStr">
        <is>
          <t>Soundariya B</t>
        </is>
      </c>
      <c r="Q648" t="inlineStr">
        <is>
          <t>Bad</t>
        </is>
      </c>
    </row>
    <row r="649">
      <c r="A649" t="inlineStr">
        <is>
          <t>aditya.c</t>
        </is>
      </c>
      <c r="B649" t="inlineStr">
        <is>
          <t>Aditya Chakraborty</t>
        </is>
      </c>
      <c r="C649" t="inlineStr">
        <is>
          <t>aditya.c@osmosys.co</t>
        </is>
      </c>
      <c r="D649" t="inlineStr">
        <is>
          <t>incident-reporter</t>
        </is>
      </c>
      <c r="E649">
        <f>HYPERLINK("http://gitlab.osmosys.co/incident-reporter/incident-reporter-angular-portal", "OQSHA Portal")</f>
        <v/>
      </c>
      <c r="F649">
        <f>HYPERLINK("http://gitlab.osmosys.co/incident-reporter/incident-reporter-angular-portal/-/merge_requests/3392", "feat: implement ptw copy feature")</f>
        <v/>
      </c>
      <c r="G649" t="inlineStr">
        <is>
          <t>feat/ptw-copy</t>
        </is>
      </c>
      <c r="H649" t="inlineStr">
        <is>
          <t>sprint-18</t>
        </is>
      </c>
      <c r="I649" t="inlineStr">
        <is>
          <t>merged</t>
        </is>
      </c>
      <c r="J649" t="inlineStr">
        <is>
          <t>a4d61a7f73b94f79f797ecd840354ff660dac097</t>
        </is>
      </c>
      <c r="K649">
        <f>HYPERLINK("http://gitlab.osmosys.co/incident-reporter/incident-reporter-angular-portal/-/merge_requests/3392#note_233833", "Please add comment in some of the lines and also possible to split the logic in small function as it hard to read code which reducing code readiablity")</f>
        <v/>
      </c>
      <c r="L649" t="inlineStr">
        <is>
          <t>2025-07-09 21:37:28.061 IST</t>
        </is>
      </c>
      <c r="M649" t="inlineStr">
        <is>
          <t>Soundariya B</t>
        </is>
      </c>
      <c r="N649" t="inlineStr">
        <is>
          <t>Yes</t>
        </is>
      </c>
      <c r="O649" t="inlineStr">
        <is>
          <t>Yes</t>
        </is>
      </c>
      <c r="P649" t="inlineStr">
        <is>
          <t>Soundariya B</t>
        </is>
      </c>
      <c r="Q649" t="inlineStr">
        <is>
          <t>Bad</t>
        </is>
      </c>
    </row>
    <row r="650">
      <c r="A650" t="inlineStr">
        <is>
          <t>aditya.c</t>
        </is>
      </c>
      <c r="B650" t="inlineStr">
        <is>
          <t>Aditya Chakraborty</t>
        </is>
      </c>
      <c r="C650" t="inlineStr">
        <is>
          <t>aditya.c@osmosys.co</t>
        </is>
      </c>
      <c r="D650" t="inlineStr">
        <is>
          <t>incident-reporter</t>
        </is>
      </c>
      <c r="E650">
        <f>HYPERLINK("http://gitlab.osmosys.co/incident-reporter/incident-reporter-angular-portal", "OQSHA Portal")</f>
        <v/>
      </c>
      <c r="F650">
        <f>HYPERLINK("http://gitlab.osmosys.co/incident-reporter/incident-reporter-angular-portal/-/merge_requests/3392", "feat: implement ptw copy feature")</f>
        <v/>
      </c>
      <c r="G650" t="inlineStr">
        <is>
          <t>feat/ptw-copy</t>
        </is>
      </c>
      <c r="H650" t="inlineStr">
        <is>
          <t>sprint-18</t>
        </is>
      </c>
      <c r="I650" t="inlineStr">
        <is>
          <t>merged</t>
        </is>
      </c>
      <c r="J650" t="inlineStr">
        <is>
          <t>a4d61a7f73b94f79f797ecd840354ff660dac097</t>
        </is>
      </c>
      <c r="K650">
        <f>HYPERLINK("http://gitlab.osmosys.co/incident-reporter/incident-reporter-angular-portal/-/merge_requests/3392#note_234302", "Updated")</f>
        <v/>
      </c>
      <c r="L650" t="inlineStr">
        <is>
          <t>2025-07-10 18:16:49.949 IST</t>
        </is>
      </c>
      <c r="M650" t="inlineStr">
        <is>
          <t>Aditya Chakraborty</t>
        </is>
      </c>
      <c r="N650" t="inlineStr">
        <is>
          <t>No</t>
        </is>
      </c>
      <c r="O650" t="inlineStr">
        <is>
          <t>Yes</t>
        </is>
      </c>
      <c r="P650" t="inlineStr">
        <is>
          <t>Soundariya B</t>
        </is>
      </c>
      <c r="Q650" t="inlineStr">
        <is>
          <t>Bad</t>
        </is>
      </c>
    </row>
    <row r="651">
      <c r="A651" t="inlineStr">
        <is>
          <t>aditya.c</t>
        </is>
      </c>
      <c r="B651" t="inlineStr">
        <is>
          <t>Aditya Chakraborty</t>
        </is>
      </c>
      <c r="C651" t="inlineStr">
        <is>
          <t>aditya.c@osmosys.co</t>
        </is>
      </c>
      <c r="D651" t="inlineStr">
        <is>
          <t>incident-reporter</t>
        </is>
      </c>
      <c r="E651">
        <f>HYPERLINK("http://gitlab.osmosys.co/incident-reporter/incident-reporter-angular-portal", "OQSHA Portal")</f>
        <v/>
      </c>
      <c r="F651">
        <f>HYPERLINK("http://gitlab.osmosys.co/incident-reporter/incident-reporter-angular-portal/-/merge_requests/3392", "feat: implement ptw copy feature")</f>
        <v/>
      </c>
      <c r="G651" t="inlineStr">
        <is>
          <t>feat/ptw-copy</t>
        </is>
      </c>
      <c r="H651" t="inlineStr">
        <is>
          <t>sprint-18</t>
        </is>
      </c>
      <c r="I651" t="inlineStr">
        <is>
          <t>merged</t>
        </is>
      </c>
      <c r="J651" t="inlineStr">
        <is>
          <t>e74efe351a5a3c9cdbaa41db0f81f28c6879cc73</t>
        </is>
      </c>
      <c r="K651">
        <f>HYPERLINK("http://gitlab.osmosys.co/incident-reporter/incident-reporter-angular-portal/-/merge_requests/3392#note_233834", "These seem to be field/label names so can you please take these from the lang files
And also, can you find some other way or alternative, because if in the future some other fields are going to be added, then its difficult to remember where we need to add it. Do such that works dynamically and doesn't affect the flow.")</f>
        <v/>
      </c>
      <c r="L651" t="inlineStr">
        <is>
          <t>2025-07-09 21:37:28.120 IST</t>
        </is>
      </c>
      <c r="M651" t="inlineStr">
        <is>
          <t>Soundariya B</t>
        </is>
      </c>
      <c r="N651" t="inlineStr">
        <is>
          <t>Yes</t>
        </is>
      </c>
      <c r="O651" t="inlineStr">
        <is>
          <t>Yes</t>
        </is>
      </c>
      <c r="P651" t="inlineStr">
        <is>
          <t>Soundariya B</t>
        </is>
      </c>
      <c r="Q651" t="inlineStr">
        <is>
          <t>Neutral</t>
        </is>
      </c>
    </row>
    <row r="652">
      <c r="A652" t="inlineStr">
        <is>
          <t>aditya.c</t>
        </is>
      </c>
      <c r="B652" t="inlineStr">
        <is>
          <t>Aditya Chakraborty</t>
        </is>
      </c>
      <c r="C652" t="inlineStr">
        <is>
          <t>aditya.c@osmosys.co</t>
        </is>
      </c>
      <c r="D652" t="inlineStr">
        <is>
          <t>incident-reporter</t>
        </is>
      </c>
      <c r="E652">
        <f>HYPERLINK("http://gitlab.osmosys.co/incident-reporter/incident-reporter-angular-portal", "OQSHA Portal")</f>
        <v/>
      </c>
      <c r="F652">
        <f>HYPERLINK("http://gitlab.osmosys.co/incident-reporter/incident-reporter-angular-portal/-/merge_requests/3392", "feat: implement ptw copy feature")</f>
        <v/>
      </c>
      <c r="G652" t="inlineStr">
        <is>
          <t>feat/ptw-copy</t>
        </is>
      </c>
      <c r="H652" t="inlineStr">
        <is>
          <t>sprint-18</t>
        </is>
      </c>
      <c r="I652" t="inlineStr">
        <is>
          <t>merged</t>
        </is>
      </c>
      <c r="J652" t="inlineStr">
        <is>
          <t>e74efe351a5a3c9cdbaa41db0f81f28c6879cc73</t>
        </is>
      </c>
      <c r="K652">
        <f>HYPERLINK("http://gitlab.osmosys.co/incident-reporter/incident-reporter-angular-portal/-/merge_requests/3392#note_234266", "No, this is in accordance with existing code
Moreover this section is hardcoded from backend, as part of the V1 configuration
And also, sections are rendered in whatever language they are created in PTW Setup - they will not be translated based on org preferences")</f>
        <v/>
      </c>
      <c r="L652" t="inlineStr">
        <is>
          <t>2025-07-10 17:55:40.412 IST</t>
        </is>
      </c>
      <c r="M652" t="inlineStr">
        <is>
          <t>Aditya Chakraborty</t>
        </is>
      </c>
      <c r="N652" t="inlineStr">
        <is>
          <t>No</t>
        </is>
      </c>
      <c r="O652" t="inlineStr">
        <is>
          <t>Yes</t>
        </is>
      </c>
      <c r="P652" t="inlineStr">
        <is>
          <t>Soundariya B</t>
        </is>
      </c>
      <c r="Q652" t="inlineStr">
        <is>
          <t>Neutral</t>
        </is>
      </c>
    </row>
    <row r="653">
      <c r="A653" t="inlineStr">
        <is>
          <t>aditya.c</t>
        </is>
      </c>
      <c r="B653" t="inlineStr">
        <is>
          <t>Aditya Chakraborty</t>
        </is>
      </c>
      <c r="C653" t="inlineStr">
        <is>
          <t>aditya.c@osmosys.co</t>
        </is>
      </c>
      <c r="D653" t="inlineStr">
        <is>
          <t>incident-reporter</t>
        </is>
      </c>
      <c r="E653">
        <f>HYPERLINK("http://gitlab.osmosys.co/incident-reporter/incident-reporter-angular-portal", "OQSHA Portal")</f>
        <v/>
      </c>
      <c r="F653">
        <f>HYPERLINK("http://gitlab.osmosys.co/incident-reporter/incident-reporter-angular-portal/-/merge_requests/3392", "feat: implement ptw copy feature")</f>
        <v/>
      </c>
      <c r="G653" t="inlineStr">
        <is>
          <t>feat/ptw-copy</t>
        </is>
      </c>
      <c r="H653" t="inlineStr">
        <is>
          <t>sprint-18</t>
        </is>
      </c>
      <c r="I653" t="inlineStr">
        <is>
          <t>merged</t>
        </is>
      </c>
      <c r="J653" t="inlineStr">
        <is>
          <t>93cfef2688bb46b8df8837633eddd57ac36d8bcd</t>
        </is>
      </c>
      <c r="K653">
        <f>HYPERLINK("http://gitlab.osmosys.co/incident-reporter/incident-reporter-angular-portal/-/merge_requests/3392#note_233835", "Don't use 'Any' data type")</f>
        <v/>
      </c>
      <c r="L653" t="inlineStr">
        <is>
          <t>2025-07-09 21:37:28.180 IST</t>
        </is>
      </c>
      <c r="M653" t="inlineStr">
        <is>
          <t>Soundariya B</t>
        </is>
      </c>
      <c r="N653" t="inlineStr">
        <is>
          <t>Yes</t>
        </is>
      </c>
      <c r="O653" t="inlineStr">
        <is>
          <t>Yes</t>
        </is>
      </c>
      <c r="P653" t="inlineStr">
        <is>
          <t>Soundariya B</t>
        </is>
      </c>
      <c r="Q653" t="inlineStr">
        <is>
          <t>Bad</t>
        </is>
      </c>
    </row>
    <row r="654">
      <c r="A654" t="inlineStr">
        <is>
          <t>aditya.c</t>
        </is>
      </c>
      <c r="B654" t="inlineStr">
        <is>
          <t>Aditya Chakraborty</t>
        </is>
      </c>
      <c r="C654" t="inlineStr">
        <is>
          <t>aditya.c@osmosys.co</t>
        </is>
      </c>
      <c r="D654" t="inlineStr">
        <is>
          <t>incident-reporter</t>
        </is>
      </c>
      <c r="E654">
        <f>HYPERLINK("http://gitlab.osmosys.co/incident-reporter/incident-reporter-angular-portal", "OQSHA Portal")</f>
        <v/>
      </c>
      <c r="F654">
        <f>HYPERLINK("http://gitlab.osmosys.co/incident-reporter/incident-reporter-angular-portal/-/merge_requests/3392", "feat: implement ptw copy feature")</f>
        <v/>
      </c>
      <c r="G654" t="inlineStr">
        <is>
          <t>feat/ptw-copy</t>
        </is>
      </c>
      <c r="H654" t="inlineStr">
        <is>
          <t>sprint-18</t>
        </is>
      </c>
      <c r="I654" t="inlineStr">
        <is>
          <t>merged</t>
        </is>
      </c>
      <c r="J654" t="inlineStr">
        <is>
          <t>5d3495ee82f54aed97eb3abadc4bfacfce3dc173</t>
        </is>
      </c>
      <c r="K654">
        <f>HYPERLINK("http://gitlab.osmosys.co/incident-reporter/incident-reporter-angular-portal/-/merge_requests/3392#note_233836", "Same here")</f>
        <v/>
      </c>
      <c r="L654" t="inlineStr">
        <is>
          <t>2025-07-09 21:37:28.255 IST</t>
        </is>
      </c>
      <c r="M654" t="inlineStr">
        <is>
          <t>Soundariya B</t>
        </is>
      </c>
      <c r="N654" t="inlineStr">
        <is>
          <t>Yes</t>
        </is>
      </c>
      <c r="O654" t="inlineStr">
        <is>
          <t>Yes</t>
        </is>
      </c>
      <c r="P654" t="inlineStr">
        <is>
          <t>Soundariya B</t>
        </is>
      </c>
      <c r="Q654" t="inlineStr">
        <is>
          <t>Bad</t>
        </is>
      </c>
    </row>
    <row r="655">
      <c r="A655" t="inlineStr">
        <is>
          <t>aditya.c</t>
        </is>
      </c>
      <c r="B655" t="inlineStr">
        <is>
          <t>Aditya Chakraborty</t>
        </is>
      </c>
      <c r="C655" t="inlineStr">
        <is>
          <t>aditya.c@osmosys.co</t>
        </is>
      </c>
      <c r="D655" t="inlineStr">
        <is>
          <t>incident-reporter</t>
        </is>
      </c>
      <c r="E655">
        <f>HYPERLINK("http://gitlab.osmosys.co/incident-reporter/incident-reporter-angular-portal", "OQSHA Portal")</f>
        <v/>
      </c>
      <c r="F655">
        <f>HYPERLINK("http://gitlab.osmosys.co/incident-reporter/incident-reporter-angular-portal/-/merge_requests/3392", "feat: implement ptw copy feature")</f>
        <v/>
      </c>
      <c r="G655" t="inlineStr">
        <is>
          <t>feat/ptw-copy</t>
        </is>
      </c>
      <c r="H655" t="inlineStr">
        <is>
          <t>sprint-18</t>
        </is>
      </c>
      <c r="I655" t="inlineStr">
        <is>
          <t>merged</t>
        </is>
      </c>
      <c r="J655" t="inlineStr">
        <is>
          <t>536b20f9f11f652411c98136e890e8f02c4a4ce4</t>
        </is>
      </c>
      <c r="K655">
        <f>HYPERLINK("http://gitlab.osmosys.co/incident-reporter/incident-reporter-angular-portal/-/merge_requests/3392#note_233837", "Same here")</f>
        <v/>
      </c>
      <c r="L655" t="inlineStr">
        <is>
          <t>2025-07-09 21:37:28.314 IST</t>
        </is>
      </c>
      <c r="M655" t="inlineStr">
        <is>
          <t>Soundariya B</t>
        </is>
      </c>
      <c r="N655" t="inlineStr">
        <is>
          <t>Yes</t>
        </is>
      </c>
      <c r="O655" t="inlineStr">
        <is>
          <t>Yes</t>
        </is>
      </c>
      <c r="P655" t="inlineStr">
        <is>
          <t>Soundariya B</t>
        </is>
      </c>
      <c r="Q655" t="inlineStr">
        <is>
          <t>Bad</t>
        </is>
      </c>
    </row>
    <row r="656">
      <c r="A656" t="inlineStr">
        <is>
          <t>aditya.c</t>
        </is>
      </c>
      <c r="B656" t="inlineStr">
        <is>
          <t>Aditya Chakraborty</t>
        </is>
      </c>
      <c r="C656" t="inlineStr">
        <is>
          <t>aditya.c@osmosys.co</t>
        </is>
      </c>
      <c r="D656" t="inlineStr">
        <is>
          <t>incident-reporter</t>
        </is>
      </c>
      <c r="E656">
        <f>HYPERLINK("http://gitlab.osmosys.co/incident-reporter/incident-reporter-angular-portal", "OQSHA Portal")</f>
        <v/>
      </c>
      <c r="F656">
        <f>HYPERLINK("http://gitlab.osmosys.co/incident-reporter/incident-reporter-angular-portal/-/merge_requests/3392", "feat: implement ptw copy feature")</f>
        <v/>
      </c>
      <c r="G656" t="inlineStr">
        <is>
          <t>feat/ptw-copy</t>
        </is>
      </c>
      <c r="H656" t="inlineStr">
        <is>
          <t>sprint-18</t>
        </is>
      </c>
      <c r="I656" t="inlineStr">
        <is>
          <t>merged</t>
        </is>
      </c>
      <c r="J656" t="inlineStr">
        <is>
          <t>4cf2f76d59ee1247ae88e2d81a07108c8ea3045b</t>
        </is>
      </c>
      <c r="K656">
        <f>HYPERLINK("http://gitlab.osmosys.co/incident-reporter/incident-reporter-angular-portal/-/merge_requests/3392#note_233838", "Same here")</f>
        <v/>
      </c>
      <c r="L656" t="inlineStr">
        <is>
          <t>2025-07-09 21:37:28.375 IST</t>
        </is>
      </c>
      <c r="M656" t="inlineStr">
        <is>
          <t>Soundariya B</t>
        </is>
      </c>
      <c r="N656" t="inlineStr">
        <is>
          <t>Yes</t>
        </is>
      </c>
      <c r="O656" t="inlineStr">
        <is>
          <t>Yes</t>
        </is>
      </c>
      <c r="P656" t="inlineStr">
        <is>
          <t>Soundariya B</t>
        </is>
      </c>
      <c r="Q656" t="inlineStr">
        <is>
          <t>Bad</t>
        </is>
      </c>
    </row>
    <row r="657">
      <c r="A657" t="inlineStr">
        <is>
          <t>aditya.c</t>
        </is>
      </c>
      <c r="B657" t="inlineStr">
        <is>
          <t>Aditya Chakraborty</t>
        </is>
      </c>
      <c r="C657" t="inlineStr">
        <is>
          <t>aditya.c@osmosys.co</t>
        </is>
      </c>
      <c r="D657" t="inlineStr">
        <is>
          <t>incident-reporter</t>
        </is>
      </c>
      <c r="E657">
        <f>HYPERLINK("http://gitlab.osmosys.co/incident-reporter/incident-reporter-angular-portal", "OQSHA Portal")</f>
        <v/>
      </c>
      <c r="F657">
        <f>HYPERLINK("http://gitlab.osmosys.co/incident-reporter/incident-reporter-angular-portal/-/merge_requests/3392", "feat: implement ptw copy feature")</f>
        <v/>
      </c>
      <c r="G657" t="inlineStr">
        <is>
          <t>feat/ptw-copy</t>
        </is>
      </c>
      <c r="H657" t="inlineStr">
        <is>
          <t>sprint-18</t>
        </is>
      </c>
      <c r="I657" t="inlineStr">
        <is>
          <t>merged</t>
        </is>
      </c>
      <c r="J657" t="inlineStr">
        <is>
          <t>f9e7c771c757233d68d2200b0159a168e1849a97</t>
        </is>
      </c>
      <c r="K657">
        <f>HYPERLINK("http://gitlab.osmosys.co/incident-reporter/incident-reporter-angular-portal/-/merge_requests/3392#note_233839", "Same here")</f>
        <v/>
      </c>
      <c r="L657" t="inlineStr">
        <is>
          <t>2025-07-09 21:37:28.437 IST</t>
        </is>
      </c>
      <c r="M657" t="inlineStr">
        <is>
          <t>Soundariya B</t>
        </is>
      </c>
      <c r="N657" t="inlineStr">
        <is>
          <t>Yes</t>
        </is>
      </c>
      <c r="O657" t="inlineStr">
        <is>
          <t>Yes</t>
        </is>
      </c>
      <c r="P657" t="inlineStr">
        <is>
          <t>Soundariya B</t>
        </is>
      </c>
      <c r="Q657" t="inlineStr">
        <is>
          <t>Bad</t>
        </is>
      </c>
    </row>
    <row r="658">
      <c r="A658" t="inlineStr">
        <is>
          <t>aditya.c</t>
        </is>
      </c>
      <c r="B658" t="inlineStr">
        <is>
          <t>Aditya Chakraborty</t>
        </is>
      </c>
      <c r="C658" t="inlineStr">
        <is>
          <t>aditya.c@osmosys.co</t>
        </is>
      </c>
      <c r="D658" t="inlineStr">
        <is>
          <t>incident-reporter</t>
        </is>
      </c>
      <c r="E658">
        <f>HYPERLINK("http://gitlab.osmosys.co/incident-reporter/incident-reporter-angular-portal", "OQSHA Portal")</f>
        <v/>
      </c>
      <c r="F658">
        <f>HYPERLINK("http://gitlab.osmosys.co/incident-reporter/incident-reporter-angular-portal/-/merge_requests/3392", "feat: implement ptw copy feature")</f>
        <v/>
      </c>
      <c r="G658" t="inlineStr">
        <is>
          <t>feat/ptw-copy</t>
        </is>
      </c>
      <c r="H658" t="inlineStr">
        <is>
          <t>sprint-18</t>
        </is>
      </c>
      <c r="I658" t="inlineStr">
        <is>
          <t>merged</t>
        </is>
      </c>
      <c r="J658" t="inlineStr">
        <is>
          <t>006e9ffecc5f53dad6c2bf437e104ecd5c9d4c14</t>
        </is>
      </c>
      <c r="K658">
        <f>HYPERLINK("http://gitlab.osmosys.co/incident-reporter/incident-reporter-angular-portal/-/merge_requests/3392#note_233840", "A similar type of code is used, which leads to repetition of code.")</f>
        <v/>
      </c>
      <c r="L658" t="inlineStr">
        <is>
          <t>2025-07-09 21:37:28.501 IST</t>
        </is>
      </c>
      <c r="M658" t="inlineStr">
        <is>
          <t>Soundariya B</t>
        </is>
      </c>
      <c r="N658" t="inlineStr">
        <is>
          <t>Yes</t>
        </is>
      </c>
      <c r="O658" t="inlineStr">
        <is>
          <t>Yes</t>
        </is>
      </c>
      <c r="P658" t="inlineStr">
        <is>
          <t>Soundariya B</t>
        </is>
      </c>
      <c r="Q658" t="inlineStr">
        <is>
          <t>Bad</t>
        </is>
      </c>
    </row>
    <row r="659">
      <c r="A659" t="inlineStr">
        <is>
          <t>aditya.c</t>
        </is>
      </c>
      <c r="B659" t="inlineStr">
        <is>
          <t>Aditya Chakraborty</t>
        </is>
      </c>
      <c r="C659" t="inlineStr">
        <is>
          <t>aditya.c@osmosys.co</t>
        </is>
      </c>
      <c r="D659" t="inlineStr">
        <is>
          <t>incident-reporter</t>
        </is>
      </c>
      <c r="E659">
        <f>HYPERLINK("http://gitlab.osmosys.co/incident-reporter/incident-reporter-angular-portal", "OQSHA Portal")</f>
        <v/>
      </c>
      <c r="F659">
        <f>HYPERLINK("http://gitlab.osmosys.co/incident-reporter/incident-reporter-angular-portal/-/merge_requests/3392", "feat: implement ptw copy feature")</f>
        <v/>
      </c>
      <c r="G659" t="inlineStr">
        <is>
          <t>feat/ptw-copy</t>
        </is>
      </c>
      <c r="H659" t="inlineStr">
        <is>
          <t>sprint-18</t>
        </is>
      </c>
      <c r="I659" t="inlineStr">
        <is>
          <t>merged</t>
        </is>
      </c>
      <c r="J659" t="inlineStr">
        <is>
          <t>006e9ffecc5f53dad6c2bf437e104ecd5c9d4c14</t>
        </is>
      </c>
      <c r="K659">
        <f>HYPERLINK("http://gitlab.osmosys.co/incident-reporter/incident-reporter-angular-portal/-/merge_requests/3392#note_241441", "Still not yet fixed")</f>
        <v/>
      </c>
      <c r="L659" t="inlineStr">
        <is>
          <t>2025-07-24 16:54:09.542 IST</t>
        </is>
      </c>
      <c r="M659" t="inlineStr">
        <is>
          <t>Soundariya B</t>
        </is>
      </c>
      <c r="N659" t="inlineStr">
        <is>
          <t>Yes</t>
        </is>
      </c>
      <c r="O659" t="inlineStr">
        <is>
          <t>Yes</t>
        </is>
      </c>
      <c r="P659" t="inlineStr">
        <is>
          <t>Soundariya B</t>
        </is>
      </c>
      <c r="Q659" t="inlineStr">
        <is>
          <t>Bad</t>
        </is>
      </c>
    </row>
    <row r="660">
      <c r="A660" t="inlineStr">
        <is>
          <t>aditya.c</t>
        </is>
      </c>
      <c r="B660" t="inlineStr">
        <is>
          <t>Aditya Chakraborty</t>
        </is>
      </c>
      <c r="C660" t="inlineStr">
        <is>
          <t>aditya.c@osmosys.co</t>
        </is>
      </c>
      <c r="D660" t="inlineStr">
        <is>
          <t>incident-reporter</t>
        </is>
      </c>
      <c r="E660">
        <f>HYPERLINK("http://gitlab.osmosys.co/incident-reporter/incident-reporter-angular-portal", "OQSHA Portal")</f>
        <v/>
      </c>
      <c r="F660">
        <f>HYPERLINK("http://gitlab.osmosys.co/incident-reporter/incident-reporter-angular-portal/-/merge_requests/3392", "feat: implement ptw copy feature")</f>
        <v/>
      </c>
      <c r="G660" t="inlineStr">
        <is>
          <t>feat/ptw-copy</t>
        </is>
      </c>
      <c r="H660" t="inlineStr">
        <is>
          <t>sprint-18</t>
        </is>
      </c>
      <c r="I660" t="inlineStr">
        <is>
          <t>merged</t>
        </is>
      </c>
      <c r="J660" t="inlineStr">
        <is>
          <t>006e9ffecc5f53dad6c2bf437e104ecd5c9d4c14</t>
        </is>
      </c>
      <c r="K660">
        <f>HYPERLINK("http://gitlab.osmosys.co/incident-reporter/incident-reporter-angular-portal/-/merge_requests/3392#note_241612", "I do not see it repeating
![image](/uploads/2c07387652eabddbff106d095d4b193f/image.png){width=1387 height=483}")</f>
        <v/>
      </c>
      <c r="L660" t="inlineStr">
        <is>
          <t>2025-07-24 22:57:59.981 IST</t>
        </is>
      </c>
      <c r="M660" t="inlineStr">
        <is>
          <t>Aditya Chakraborty</t>
        </is>
      </c>
      <c r="N660" t="inlineStr">
        <is>
          <t>No</t>
        </is>
      </c>
      <c r="O660" t="inlineStr">
        <is>
          <t>Yes</t>
        </is>
      </c>
      <c r="P660" t="inlineStr">
        <is>
          <t>Soundariya B</t>
        </is>
      </c>
      <c r="Q660" t="inlineStr">
        <is>
          <t>Bad</t>
        </is>
      </c>
    </row>
    <row r="661">
      <c r="A661" t="inlineStr">
        <is>
          <t>aditya.c</t>
        </is>
      </c>
      <c r="B661" t="inlineStr">
        <is>
          <t>Aditya Chakraborty</t>
        </is>
      </c>
      <c r="C661" t="inlineStr">
        <is>
          <t>aditya.c@osmosys.co</t>
        </is>
      </c>
      <c r="D661" t="inlineStr">
        <is>
          <t>incident-reporter</t>
        </is>
      </c>
      <c r="E661">
        <f>HYPERLINK("http://gitlab.osmosys.co/incident-reporter/incident-reporter-angular-portal", "OQSHA Portal")</f>
        <v/>
      </c>
      <c r="F661">
        <f>HYPERLINK("http://gitlab.osmosys.co/incident-reporter/incident-reporter-angular-portal/-/merge_requests/3392", "feat: implement ptw copy feature")</f>
        <v/>
      </c>
      <c r="G661" t="inlineStr">
        <is>
          <t>feat/ptw-copy</t>
        </is>
      </c>
      <c r="H661" t="inlineStr">
        <is>
          <t>sprint-18</t>
        </is>
      </c>
      <c r="I661" t="inlineStr">
        <is>
          <t>merged</t>
        </is>
      </c>
      <c r="J661" t="inlineStr">
        <is>
          <t>44c3980ca6e0277e5749ae95fc90def3104534d8</t>
        </is>
      </c>
      <c r="K661">
        <f>HYPERLINK("http://gitlab.osmosys.co/incident-reporter/incident-reporter-angular-portal/-/merge_requests/3392#note_233841", "take the routes from constant file")</f>
        <v/>
      </c>
      <c r="L661" t="inlineStr">
        <is>
          <t>2025-07-09 21:37:28.592 IST</t>
        </is>
      </c>
      <c r="M661" t="inlineStr">
        <is>
          <t>Soundariya B</t>
        </is>
      </c>
      <c r="N661" t="inlineStr">
        <is>
          <t>Yes</t>
        </is>
      </c>
      <c r="O661" t="inlineStr">
        <is>
          <t>Yes</t>
        </is>
      </c>
      <c r="P661" t="inlineStr">
        <is>
          <t>Soundariya B</t>
        </is>
      </c>
      <c r="Q661" t="inlineStr">
        <is>
          <t>Bad</t>
        </is>
      </c>
    </row>
    <row r="662">
      <c r="A662" t="inlineStr">
        <is>
          <t>aditya.c</t>
        </is>
      </c>
      <c r="B662" t="inlineStr">
        <is>
          <t>Aditya Chakraborty</t>
        </is>
      </c>
      <c r="C662" t="inlineStr">
        <is>
          <t>aditya.c@osmosys.co</t>
        </is>
      </c>
      <c r="D662" t="inlineStr">
        <is>
          <t>incident-reporter</t>
        </is>
      </c>
      <c r="E662">
        <f>HYPERLINK("http://gitlab.osmosys.co/incident-reporter/incident-reporter-angular-portal", "OQSHA Portal")</f>
        <v/>
      </c>
      <c r="F662">
        <f>HYPERLINK("http://gitlab.osmosys.co/incident-reporter/incident-reporter-angular-portal/-/merge_requests/3392", "feat: implement ptw copy feature")</f>
        <v/>
      </c>
      <c r="G662" t="inlineStr">
        <is>
          <t>feat/ptw-copy</t>
        </is>
      </c>
      <c r="H662" t="inlineStr">
        <is>
          <t>sprint-18</t>
        </is>
      </c>
      <c r="I662" t="inlineStr">
        <is>
          <t>merged</t>
        </is>
      </c>
      <c r="J662" t="inlineStr">
        <is>
          <t>44c3980ca6e0277e5749ae95fc90def3104534d8</t>
        </is>
      </c>
      <c r="K662">
        <f>HYPERLINK("http://gitlab.osmosys.co/incident-reporter/incident-reporter-angular-portal/-/merge_requests/3392#note_241438", "Still not yet fixed")</f>
        <v/>
      </c>
      <c r="L662" t="inlineStr">
        <is>
          <t>2025-07-24 16:52:26.119 IST</t>
        </is>
      </c>
      <c r="M662" t="inlineStr">
        <is>
          <t>Soundariya B</t>
        </is>
      </c>
      <c r="N662" t="inlineStr">
        <is>
          <t>Yes</t>
        </is>
      </c>
      <c r="O662" t="inlineStr">
        <is>
          <t>Yes</t>
        </is>
      </c>
      <c r="P662" t="inlineStr">
        <is>
          <t>Soundariya B</t>
        </is>
      </c>
      <c r="Q662" t="inlineStr">
        <is>
          <t>Bad</t>
        </is>
      </c>
    </row>
    <row r="663">
      <c r="A663" t="inlineStr">
        <is>
          <t>aditya.c</t>
        </is>
      </c>
      <c r="B663" t="inlineStr">
        <is>
          <t>Aditya Chakraborty</t>
        </is>
      </c>
      <c r="C663" t="inlineStr">
        <is>
          <t>aditya.c@osmosys.co</t>
        </is>
      </c>
      <c r="D663" t="inlineStr">
        <is>
          <t>incident-reporter</t>
        </is>
      </c>
      <c r="E663">
        <f>HYPERLINK("http://gitlab.osmosys.co/incident-reporter/incident-reporter-angular-portal", "OQSHA Portal")</f>
        <v/>
      </c>
      <c r="F663">
        <f>HYPERLINK("http://gitlab.osmosys.co/incident-reporter/incident-reporter-angular-portal/-/merge_requests/3392", "feat: implement ptw copy feature")</f>
        <v/>
      </c>
      <c r="G663" t="inlineStr">
        <is>
          <t>feat/ptw-copy</t>
        </is>
      </c>
      <c r="H663" t="inlineStr">
        <is>
          <t>sprint-18</t>
        </is>
      </c>
      <c r="I663" t="inlineStr">
        <is>
          <t>merged</t>
        </is>
      </c>
      <c r="J663" t="inlineStr">
        <is>
          <t>a8d6e2092fde42c393b97650ce642bc7501f1e3a</t>
        </is>
      </c>
      <c r="K663">
        <f>HYPERLINK("http://gitlab.osmosys.co/incident-reporter/incident-reporter-angular-portal/-/merge_requests/3392#note_233843", "This issue is fixed I believe - While entering to the page why end time field showing as red box and the error toaster is popup?")</f>
        <v/>
      </c>
      <c r="L663" t="inlineStr">
        <is>
          <t>2025-07-09 21:38:40.150 IST</t>
        </is>
      </c>
      <c r="M663" t="inlineStr">
        <is>
          <t>Soundariya B</t>
        </is>
      </c>
      <c r="N663" t="inlineStr">
        <is>
          <t>Yes</t>
        </is>
      </c>
      <c r="O663" t="inlineStr">
        <is>
          <t>Yes</t>
        </is>
      </c>
      <c r="P663" t="inlineStr">
        <is>
          <t>Soundariya B</t>
        </is>
      </c>
      <c r="Q663" t="inlineStr">
        <is>
          <t>Bad</t>
        </is>
      </c>
    </row>
    <row r="664">
      <c r="A664" t="inlineStr">
        <is>
          <t>aditya.c</t>
        </is>
      </c>
      <c r="B664" t="inlineStr">
        <is>
          <t>Aditya Chakraborty</t>
        </is>
      </c>
      <c r="C664" t="inlineStr">
        <is>
          <t>aditya.c@osmosys.co</t>
        </is>
      </c>
      <c r="D664" t="inlineStr">
        <is>
          <t>incident-reporter</t>
        </is>
      </c>
      <c r="E664">
        <f>HYPERLINK("http://gitlab.osmosys.co/incident-reporter/incident-reporter-angular-portal", "OQSHA Portal")</f>
        <v/>
      </c>
      <c r="F664">
        <f>HYPERLINK("http://gitlab.osmosys.co/incident-reporter/incident-reporter-angular-portal/-/merge_requests/3392", "feat: implement ptw copy feature")</f>
        <v/>
      </c>
      <c r="G664" t="inlineStr">
        <is>
          <t>feat/ptw-copy</t>
        </is>
      </c>
      <c r="H664" t="inlineStr">
        <is>
          <t>sprint-18</t>
        </is>
      </c>
      <c r="I664" t="inlineStr">
        <is>
          <t>merged</t>
        </is>
      </c>
      <c r="J664" t="inlineStr">
        <is>
          <t>a8d6e2092fde42c393b97650ce642bc7501f1e3a</t>
        </is>
      </c>
      <c r="K664">
        <f>HYPERLINK("http://gitlab.osmosys.co/incident-reporter/incident-reporter-angular-portal/-/merge_requests/3392#note_234269", "Because I was testing after 6. This is default behaviour")</f>
        <v/>
      </c>
      <c r="L664" t="inlineStr">
        <is>
          <t>2025-07-10 17:57:46.321 IST</t>
        </is>
      </c>
      <c r="M664" t="inlineStr">
        <is>
          <t>Aditya Chakraborty</t>
        </is>
      </c>
      <c r="N664" t="inlineStr">
        <is>
          <t>No</t>
        </is>
      </c>
      <c r="O664" t="inlineStr">
        <is>
          <t>Yes</t>
        </is>
      </c>
      <c r="P664" t="inlineStr">
        <is>
          <t>Soundariya B</t>
        </is>
      </c>
      <c r="Q664" t="inlineStr">
        <is>
          <t>Bad</t>
        </is>
      </c>
    </row>
    <row r="665">
      <c r="A665" t="inlineStr">
        <is>
          <t>aditya.c</t>
        </is>
      </c>
      <c r="B665" t="inlineStr">
        <is>
          <t>Aditya Chakraborty</t>
        </is>
      </c>
      <c r="C665" t="inlineStr">
        <is>
          <t>aditya.c@osmosys.co</t>
        </is>
      </c>
      <c r="D665" t="inlineStr">
        <is>
          <t>incident-reporter</t>
        </is>
      </c>
      <c r="E665">
        <f>HYPERLINK("http://gitlab.osmosys.co/incident-reporter/incident-reporter-angular-portal", "OQSHA Portal")</f>
        <v/>
      </c>
      <c r="F665">
        <f>HYPERLINK("http://gitlab.osmosys.co/incident-reporter/incident-reporter-angular-portal/-/merge_requests/3392", "feat: implement ptw copy feature")</f>
        <v/>
      </c>
      <c r="G665" t="inlineStr">
        <is>
          <t>feat/ptw-copy</t>
        </is>
      </c>
      <c r="H665" t="inlineStr">
        <is>
          <t>sprint-18</t>
        </is>
      </c>
      <c r="I665" t="inlineStr">
        <is>
          <t>merged</t>
        </is>
      </c>
      <c r="J665" t="inlineStr">
        <is>
          <t>a8d6e2092fde42c393b97650ce642bc7501f1e3a</t>
        </is>
      </c>
      <c r="K665">
        <f>HYPERLINK("http://gitlab.osmosys.co/incident-reporter/incident-reporter-angular-portal/-/merge_requests/3392#note_241435", "It should not show instead it should be current time or not time preselected
Why user will get that error if not updating or entering anything in add page")</f>
        <v/>
      </c>
      <c r="L665" t="inlineStr">
        <is>
          <t>2025-07-24 16:49:28.063 IST</t>
        </is>
      </c>
      <c r="M665" t="inlineStr">
        <is>
          <t>Soundariya B</t>
        </is>
      </c>
      <c r="N665" t="inlineStr">
        <is>
          <t>Yes</t>
        </is>
      </c>
      <c r="O665" t="inlineStr">
        <is>
          <t>Yes</t>
        </is>
      </c>
      <c r="P665" t="inlineStr">
        <is>
          <t>Soundariya B</t>
        </is>
      </c>
      <c r="Q665" t="inlineStr">
        <is>
          <t>Bad</t>
        </is>
      </c>
    </row>
    <row r="666">
      <c r="A666" t="inlineStr">
        <is>
          <t>aditya.c</t>
        </is>
      </c>
      <c r="B666" t="inlineStr">
        <is>
          <t>Aditya Chakraborty</t>
        </is>
      </c>
      <c r="C666" t="inlineStr">
        <is>
          <t>aditya.c@osmosys.co</t>
        </is>
      </c>
      <c r="D666" t="inlineStr">
        <is>
          <t>incident-reporter</t>
        </is>
      </c>
      <c r="E666">
        <f>HYPERLINK("http://gitlab.osmosys.co/incident-reporter/incident-reporter-angular-portal", "OQSHA Portal")</f>
        <v/>
      </c>
      <c r="F666">
        <f>HYPERLINK("http://gitlab.osmosys.co/incident-reporter/incident-reporter-angular-portal/-/merge_requests/3392", "feat: implement ptw copy feature")</f>
        <v/>
      </c>
      <c r="G666" t="inlineStr">
        <is>
          <t>feat/ptw-copy</t>
        </is>
      </c>
      <c r="H666" t="inlineStr">
        <is>
          <t>sprint-18</t>
        </is>
      </c>
      <c r="I666" t="inlineStr">
        <is>
          <t>merged</t>
        </is>
      </c>
      <c r="J666" t="inlineStr">
        <is>
          <t>a8d6e2092fde42c393b97650ce642bc7501f1e3a</t>
        </is>
      </c>
      <c r="K666">
        <f>HYPERLINK("http://gitlab.osmosys.co/incident-reporter/incident-reporter-angular-portal/-/merge_requests/3392#note_241610", "This is default behaviour, @soundariya.b. There is a bug for it as well: [INRB-2911](https://pinestem.com/dashboard.html#/bugs/quick/INRB-2911/details?companyId=453&amp;toggleBugs=true)")</f>
        <v/>
      </c>
      <c r="L666" t="inlineStr">
        <is>
          <t>2025-07-24 22:40:03.319 IST</t>
        </is>
      </c>
      <c r="M666" t="inlineStr">
        <is>
          <t>Aditya Chakraborty</t>
        </is>
      </c>
      <c r="N666" t="inlineStr">
        <is>
          <t>No</t>
        </is>
      </c>
      <c r="O666" t="inlineStr">
        <is>
          <t>Yes</t>
        </is>
      </c>
      <c r="P666" t="inlineStr">
        <is>
          <t>Soundariya B</t>
        </is>
      </c>
      <c r="Q666" t="inlineStr">
        <is>
          <t>Bad</t>
        </is>
      </c>
    </row>
    <row r="667">
      <c r="A667" t="inlineStr">
        <is>
          <t>aditya.c</t>
        </is>
      </c>
      <c r="B667" t="inlineStr">
        <is>
          <t>Aditya Chakraborty</t>
        </is>
      </c>
      <c r="C667" t="inlineStr">
        <is>
          <t>aditya.c@osmosys.co</t>
        </is>
      </c>
      <c r="D667" t="inlineStr">
        <is>
          <t>incident-reporter</t>
        </is>
      </c>
      <c r="E667">
        <f>HYPERLINK("http://gitlab.osmosys.co/incident-reporter/incident-reporter-angular-portal", "OQSHA Portal")</f>
        <v/>
      </c>
      <c r="F667">
        <f>HYPERLINK("http://gitlab.osmosys.co/incident-reporter/incident-reporter-angular-portal/-/merge_requests/3392", "feat: implement ptw copy feature")</f>
        <v/>
      </c>
      <c r="G667" t="inlineStr">
        <is>
          <t>feat/ptw-copy</t>
        </is>
      </c>
      <c r="H667" t="inlineStr">
        <is>
          <t>sprint-18</t>
        </is>
      </c>
      <c r="I667" t="inlineStr">
        <is>
          <t>merged</t>
        </is>
      </c>
      <c r="J667" t="inlineStr">
        <is>
          <t>a8d6e2092fde42c393b97650ce642bc7501f1e3a</t>
        </is>
      </c>
      <c r="K667">
        <f>HYPERLINK("http://gitlab.osmosys.co/incident-reporter/incident-reporter-angular-portal/-/merge_requests/3392#note_241689", "Ok then this issue can be address in separate bug so closing this thread now")</f>
        <v/>
      </c>
      <c r="L667" t="inlineStr">
        <is>
          <t>2025-07-25 08:47:00.305 IST</t>
        </is>
      </c>
      <c r="M667" t="inlineStr">
        <is>
          <t>Soundariya B</t>
        </is>
      </c>
      <c r="N667" t="inlineStr">
        <is>
          <t>Yes</t>
        </is>
      </c>
      <c r="O667" t="inlineStr">
        <is>
          <t>Yes</t>
        </is>
      </c>
      <c r="P667" t="inlineStr">
        <is>
          <t>Soundariya B</t>
        </is>
      </c>
      <c r="Q667" t="inlineStr">
        <is>
          <t>Bad</t>
        </is>
      </c>
    </row>
    <row r="668">
      <c r="A668" t="inlineStr">
        <is>
          <t>aditya.c</t>
        </is>
      </c>
      <c r="B668" t="inlineStr">
        <is>
          <t>Aditya Chakraborty</t>
        </is>
      </c>
      <c r="C668" t="inlineStr">
        <is>
          <t>aditya.c@osmosys.co</t>
        </is>
      </c>
      <c r="D668" t="inlineStr">
        <is>
          <t>incident-reporter</t>
        </is>
      </c>
      <c r="E668">
        <f>HYPERLINK("http://gitlab.osmosys.co/incident-reporter/incident-reporter-angular-portal", "OQSHA Portal")</f>
        <v/>
      </c>
      <c r="F668">
        <f>HYPERLINK("http://gitlab.osmosys.co/incident-reporter/incident-reporter-angular-portal/-/merge_requests/3392", "feat: implement ptw copy feature")</f>
        <v/>
      </c>
      <c r="G668" t="inlineStr">
        <is>
          <t>feat/ptw-copy</t>
        </is>
      </c>
      <c r="H668" t="inlineStr">
        <is>
          <t>sprint-18</t>
        </is>
      </c>
      <c r="I668" t="inlineStr">
        <is>
          <t>merged</t>
        </is>
      </c>
      <c r="J668" t="inlineStr">
        <is>
          <t>8f64769f6e10bbb82609bc4e03bf58dd8b152919</t>
        </is>
      </c>
      <c r="K668">
        <f>HYPERLINK("http://gitlab.osmosys.co/incident-reporter/incident-reporter-angular-portal/-/merge_requests/3392#note_241684", "Variable name should be meaningful not 'd'")</f>
        <v/>
      </c>
      <c r="L668" t="inlineStr">
        <is>
          <t>2025-07-25 08:41:07.864 IST</t>
        </is>
      </c>
      <c r="M668" t="inlineStr">
        <is>
          <t>Soundariya B</t>
        </is>
      </c>
      <c r="N668" t="inlineStr">
        <is>
          <t>Yes</t>
        </is>
      </c>
      <c r="O668" t="inlineStr">
        <is>
          <t>Yes</t>
        </is>
      </c>
      <c r="P668" t="inlineStr">
        <is>
          <t>Soundariya B</t>
        </is>
      </c>
      <c r="Q668" t="inlineStr">
        <is>
          <t>Bad</t>
        </is>
      </c>
    </row>
    <row r="669">
      <c r="A669" t="inlineStr">
        <is>
          <t>aditya.c</t>
        </is>
      </c>
      <c r="B669" t="inlineStr">
        <is>
          <t>Aditya Chakraborty</t>
        </is>
      </c>
      <c r="C669" t="inlineStr">
        <is>
          <t>aditya.c@osmosys.co</t>
        </is>
      </c>
      <c r="D669" t="inlineStr">
        <is>
          <t>incident-reporter</t>
        </is>
      </c>
      <c r="E669">
        <f>HYPERLINK("http://gitlab.osmosys.co/incident-reporter/incident-reporter-angular-portal", "OQSHA Portal")</f>
        <v/>
      </c>
      <c r="F669">
        <f>HYPERLINK("http://gitlab.osmosys.co/incident-reporter/incident-reporter-angular-portal/-/merge_requests/3392", "feat: implement ptw copy feature")</f>
        <v/>
      </c>
      <c r="G669" t="inlineStr">
        <is>
          <t>feat/ptw-copy</t>
        </is>
      </c>
      <c r="H669" t="inlineStr">
        <is>
          <t>sprint-18</t>
        </is>
      </c>
      <c r="I669" t="inlineStr">
        <is>
          <t>merged</t>
        </is>
      </c>
      <c r="J669" t="inlineStr">
        <is>
          <t>e0c30e61c872893747584204fc73cb0604311ce5</t>
        </is>
      </c>
      <c r="K669">
        <f>HYPERLINK("http://gitlab.osmosys.co/incident-reporter/incident-reporter-angular-portal/-/merge_requests/3392#note_241685", "These lines of code using more than 1 places please get this function like fetchDepartmentId")</f>
        <v/>
      </c>
      <c r="L669" t="inlineStr">
        <is>
          <t>2025-07-25 08:41:07.959 IST</t>
        </is>
      </c>
      <c r="M669" t="inlineStr">
        <is>
          <t>Soundariya B</t>
        </is>
      </c>
      <c r="N669" t="inlineStr">
        <is>
          <t>Yes</t>
        </is>
      </c>
      <c r="O669" t="inlineStr">
        <is>
          <t>Yes</t>
        </is>
      </c>
      <c r="P669" t="inlineStr">
        <is>
          <t>Raj Kumar</t>
        </is>
      </c>
      <c r="Q669" t="inlineStr">
        <is>
          <t>Bad</t>
        </is>
      </c>
    </row>
    <row r="670">
      <c r="A670" t="inlineStr">
        <is>
          <t>aditya.c</t>
        </is>
      </c>
      <c r="B670" t="inlineStr">
        <is>
          <t>Aditya Chakraborty</t>
        </is>
      </c>
      <c r="C670" t="inlineStr">
        <is>
          <t>aditya.c@osmosys.co</t>
        </is>
      </c>
      <c r="D670" t="inlineStr">
        <is>
          <t>incident-reporter</t>
        </is>
      </c>
      <c r="E670">
        <f>HYPERLINK("http://gitlab.osmosys.co/incident-reporter/incident-reporter-angular-portal", "OQSHA Portal")</f>
        <v/>
      </c>
      <c r="F670">
        <f>HYPERLINK("http://gitlab.osmosys.co/incident-reporter/incident-reporter-angular-portal/-/merge_requests/3392", "feat: implement ptw copy feature")</f>
        <v/>
      </c>
      <c r="G670" t="inlineStr">
        <is>
          <t>feat/ptw-copy</t>
        </is>
      </c>
      <c r="H670" t="inlineStr">
        <is>
          <t>sprint-18</t>
        </is>
      </c>
      <c r="I670" t="inlineStr">
        <is>
          <t>merged</t>
        </is>
      </c>
      <c r="J670" t="inlineStr">
        <is>
          <t>e0c30e61c872893747584204fc73cb0604311ce5</t>
        </is>
      </c>
      <c r="K670">
        <f>HYPERLINK("http://gitlab.osmosys.co/incident-reporter/incident-reporter-angular-portal/-/merge_requests/3392#note_241897", "Added new function is ok
but need to add the if block which commonly using so raised the thread related this thread after that is fixed I will resolve this thread as well
http://gitlab.osmosys.co/incident-reporter/incident-reporter-angular-portal/-/merge_requests/3392#note_241893")</f>
        <v/>
      </c>
      <c r="L670" t="inlineStr">
        <is>
          <t>2025-07-25 16:21:02.015 IST</t>
        </is>
      </c>
      <c r="M670" t="inlineStr">
        <is>
          <t>Soundariya B</t>
        </is>
      </c>
      <c r="N670" t="inlineStr">
        <is>
          <t>Yes</t>
        </is>
      </c>
      <c r="O670" t="inlineStr">
        <is>
          <t>Yes</t>
        </is>
      </c>
      <c r="P670" t="inlineStr">
        <is>
          <t>Raj Kumar</t>
        </is>
      </c>
      <c r="Q670" t="inlineStr">
        <is>
          <t>Bad</t>
        </is>
      </c>
    </row>
    <row r="671">
      <c r="A671" t="inlineStr">
        <is>
          <t>aditya.c</t>
        </is>
      </c>
      <c r="B671" t="inlineStr">
        <is>
          <t>Aditya Chakraborty</t>
        </is>
      </c>
      <c r="C671" t="inlineStr">
        <is>
          <t>aditya.c@osmosys.co</t>
        </is>
      </c>
      <c r="D671" t="inlineStr">
        <is>
          <t>incident-reporter</t>
        </is>
      </c>
      <c r="E671">
        <f>HYPERLINK("http://gitlab.osmosys.co/incident-reporter/incident-reporter-angular-portal", "OQSHA Portal")</f>
        <v/>
      </c>
      <c r="F671">
        <f>HYPERLINK("http://gitlab.osmosys.co/incident-reporter/incident-reporter-angular-portal/-/merge_requests/3392", "feat: implement ptw copy feature")</f>
        <v/>
      </c>
      <c r="G671" t="inlineStr">
        <is>
          <t>feat/ptw-copy</t>
        </is>
      </c>
      <c r="H671" t="inlineStr">
        <is>
          <t>sprint-18</t>
        </is>
      </c>
      <c r="I671" t="inlineStr">
        <is>
          <t>merged</t>
        </is>
      </c>
      <c r="J671" t="inlineStr">
        <is>
          <t>e0c30e61c872893747584204fc73cb0604311ce5</t>
        </is>
      </c>
      <c r="K671">
        <f>HYPERLINK("http://gitlab.osmosys.co/incident-reporter/incident-reporter-angular-portal/-/merge_requests/3392#note_242197", "Updated")</f>
        <v/>
      </c>
      <c r="L671" t="inlineStr">
        <is>
          <t>2025-07-25 21:53:37.062 IST</t>
        </is>
      </c>
      <c r="M671" t="inlineStr">
        <is>
          <t>Aditya Chakraborty</t>
        </is>
      </c>
      <c r="N671" t="inlineStr">
        <is>
          <t>No</t>
        </is>
      </c>
      <c r="O671" t="inlineStr">
        <is>
          <t>Yes</t>
        </is>
      </c>
      <c r="P671" t="inlineStr">
        <is>
          <t>Raj Kumar</t>
        </is>
      </c>
      <c r="Q671" t="inlineStr">
        <is>
          <t>Bad</t>
        </is>
      </c>
    </row>
    <row r="672">
      <c r="A672" t="inlineStr">
        <is>
          <t>aditya.c</t>
        </is>
      </c>
      <c r="B672" t="inlineStr">
        <is>
          <t>Aditya Chakraborty</t>
        </is>
      </c>
      <c r="C672" t="inlineStr">
        <is>
          <t>aditya.c@osmosys.co</t>
        </is>
      </c>
      <c r="D672" t="inlineStr">
        <is>
          <t>incident-reporter</t>
        </is>
      </c>
      <c r="E672">
        <f>HYPERLINK("http://gitlab.osmosys.co/incident-reporter/incident-reporter-angular-portal", "OQSHA Portal")</f>
        <v/>
      </c>
      <c r="F672">
        <f>HYPERLINK("http://gitlab.osmosys.co/incident-reporter/incident-reporter-angular-portal/-/merge_requests/3392", "feat: implement ptw copy feature")</f>
        <v/>
      </c>
      <c r="G672" t="inlineStr">
        <is>
          <t>feat/ptw-copy</t>
        </is>
      </c>
      <c r="H672" t="inlineStr">
        <is>
          <t>sprint-18</t>
        </is>
      </c>
      <c r="I672" t="inlineStr">
        <is>
          <t>merged</t>
        </is>
      </c>
      <c r="J672" t="inlineStr">
        <is>
          <t>8e6d34a3a64d926432763ae15cecfcc3c4de69d2</t>
        </is>
      </c>
      <c r="K672">
        <f>HYPERLINK("http://gitlab.osmosys.co/incident-reporter/incident-reporter-angular-portal/-/merge_requests/3392#note_241686", "![image](/uploads/915ef15c80ce8f53d385c826fd2b17c5/image.png)
These two toaster is not required on copied PTW and end time error should not shown as its reported earlier as well. In app these two toastr are not showing please do the same.")</f>
        <v/>
      </c>
      <c r="L672" t="inlineStr">
        <is>
          <t>2025-07-25 08:41:08.009 IST</t>
        </is>
      </c>
      <c r="M672" t="inlineStr">
        <is>
          <t>Soundariya B</t>
        </is>
      </c>
      <c r="N672" t="inlineStr">
        <is>
          <t>Yes</t>
        </is>
      </c>
      <c r="O672" t="inlineStr">
        <is>
          <t>Yes</t>
        </is>
      </c>
      <c r="P672" t="inlineStr">
        <is>
          <t>Raj Kumar</t>
        </is>
      </c>
      <c r="Q672" t="inlineStr">
        <is>
          <t>Bad</t>
        </is>
      </c>
    </row>
    <row r="673">
      <c r="A673" t="inlineStr">
        <is>
          <t>aditya.c</t>
        </is>
      </c>
      <c r="B673" t="inlineStr">
        <is>
          <t>Aditya Chakraborty</t>
        </is>
      </c>
      <c r="C673" t="inlineStr">
        <is>
          <t>aditya.c@osmosys.co</t>
        </is>
      </c>
      <c r="D673" t="inlineStr">
        <is>
          <t>incident-reporter</t>
        </is>
      </c>
      <c r="E673">
        <f>HYPERLINK("http://gitlab.osmosys.co/incident-reporter/incident-reporter-angular-portal", "OQSHA Portal")</f>
        <v/>
      </c>
      <c r="F673">
        <f>HYPERLINK("http://gitlab.osmosys.co/incident-reporter/incident-reporter-angular-portal/-/merge_requests/3392", "feat: implement ptw copy feature")</f>
        <v/>
      </c>
      <c r="G673" t="inlineStr">
        <is>
          <t>feat/ptw-copy</t>
        </is>
      </c>
      <c r="H673" t="inlineStr">
        <is>
          <t>sprint-18</t>
        </is>
      </c>
      <c r="I673" t="inlineStr">
        <is>
          <t>merged</t>
        </is>
      </c>
      <c r="J673" t="inlineStr">
        <is>
          <t>8e6d34a3a64d926432763ae15cecfcc3c4de69d2</t>
        </is>
      </c>
      <c r="K673">
        <f>HYPERLINK("http://gitlab.osmosys.co/incident-reporter/incident-reporter-angular-portal/-/merge_requests/3392#note_241692", "Ignore this thread part for end time error - http://gitlab.osmosys.co/incident-reporter/incident-reporter-angular-portal/-/merge_requests/3392#note_241689
But please check the green toastr message")</f>
        <v/>
      </c>
      <c r="L673" t="inlineStr">
        <is>
          <t>2025-07-25 08:48:49.995 IST</t>
        </is>
      </c>
      <c r="M673" t="inlineStr">
        <is>
          <t>Soundariya B</t>
        </is>
      </c>
      <c r="N673" t="inlineStr">
        <is>
          <t>Yes</t>
        </is>
      </c>
      <c r="O673" t="inlineStr">
        <is>
          <t>Yes</t>
        </is>
      </c>
      <c r="P673" t="inlineStr">
        <is>
          <t>Raj Kumar</t>
        </is>
      </c>
      <c r="Q673" t="inlineStr">
        <is>
          <t>Bad</t>
        </is>
      </c>
    </row>
    <row r="674">
      <c r="A674" t="inlineStr">
        <is>
          <t>aditya.c</t>
        </is>
      </c>
      <c r="B674" t="inlineStr">
        <is>
          <t>Aditya Chakraborty</t>
        </is>
      </c>
      <c r="C674" t="inlineStr">
        <is>
          <t>aditya.c@osmosys.co</t>
        </is>
      </c>
      <c r="D674" t="inlineStr">
        <is>
          <t>incident-reporter</t>
        </is>
      </c>
      <c r="E674">
        <f>HYPERLINK("http://gitlab.osmosys.co/incident-reporter/incident-reporter-angular-portal", "OQSHA Portal")</f>
        <v/>
      </c>
      <c r="F674">
        <f>HYPERLINK("http://gitlab.osmosys.co/incident-reporter/incident-reporter-angular-portal/-/merge_requests/3392", "feat: implement ptw copy feature")</f>
        <v/>
      </c>
      <c r="G674" t="inlineStr">
        <is>
          <t>feat/ptw-copy</t>
        </is>
      </c>
      <c r="H674" t="inlineStr">
        <is>
          <t>sprint-18</t>
        </is>
      </c>
      <c r="I674" t="inlineStr">
        <is>
          <t>merged</t>
        </is>
      </c>
      <c r="J674" t="inlineStr">
        <is>
          <t>8e6d34a3a64d926432763ae15cecfcc3c4de69d2</t>
        </is>
      </c>
      <c r="K674">
        <f>HYPERLINK("http://gitlab.osmosys.co/incident-reporter/incident-reporter-angular-portal/-/merge_requests/3392#note_241854", "Yes - data is copied successfully, why shouldn't it be coming?")</f>
        <v/>
      </c>
      <c r="L674" t="inlineStr">
        <is>
          <t>2025-07-25 15:52:32.726 IST</t>
        </is>
      </c>
      <c r="M674" t="inlineStr">
        <is>
          <t>Aditya Chakraborty</t>
        </is>
      </c>
      <c r="N674" t="inlineStr">
        <is>
          <t>No</t>
        </is>
      </c>
      <c r="O674" t="inlineStr">
        <is>
          <t>Yes</t>
        </is>
      </c>
      <c r="P674" t="inlineStr">
        <is>
          <t>Raj Kumar</t>
        </is>
      </c>
      <c r="Q674" t="inlineStr">
        <is>
          <t>Bad</t>
        </is>
      </c>
    </row>
    <row r="675">
      <c r="A675" t="inlineStr">
        <is>
          <t>aditya.c</t>
        </is>
      </c>
      <c r="B675" t="inlineStr">
        <is>
          <t>Aditya Chakraborty</t>
        </is>
      </c>
      <c r="C675" t="inlineStr">
        <is>
          <t>aditya.c@osmosys.co</t>
        </is>
      </c>
      <c r="D675" t="inlineStr">
        <is>
          <t>incident-reporter</t>
        </is>
      </c>
      <c r="E675">
        <f>HYPERLINK("http://gitlab.osmosys.co/incident-reporter/incident-reporter-angular-portal", "OQSHA Portal")</f>
        <v/>
      </c>
      <c r="F675">
        <f>HYPERLINK("http://gitlab.osmosys.co/incident-reporter/incident-reporter-angular-portal/-/merge_requests/3392", "feat: implement ptw copy feature")</f>
        <v/>
      </c>
      <c r="G675" t="inlineStr">
        <is>
          <t>feat/ptw-copy</t>
        </is>
      </c>
      <c r="H675" t="inlineStr">
        <is>
          <t>sprint-18</t>
        </is>
      </c>
      <c r="I675" t="inlineStr">
        <is>
          <t>merged</t>
        </is>
      </c>
      <c r="J675" t="inlineStr">
        <is>
          <t>8e6d34a3a64d926432763ae15cecfcc3c4de69d2</t>
        </is>
      </c>
      <c r="K675">
        <f>HYPERLINK("http://gitlab.osmosys.co/incident-reporter/incident-reporter-angular-portal/-/merge_requests/3392#note_241898", "Check what is the behavior of the app while copied PTW we are not showing any toaster message so please do the same. - Already mentioned to check in app as well.")</f>
        <v/>
      </c>
      <c r="L675" t="inlineStr">
        <is>
          <t>2025-07-25 16:22:06.658 IST</t>
        </is>
      </c>
      <c r="M675" t="inlineStr">
        <is>
          <t>Soundariya B</t>
        </is>
      </c>
      <c r="N675" t="inlineStr">
        <is>
          <t>Yes</t>
        </is>
      </c>
      <c r="O675" t="inlineStr">
        <is>
          <t>Yes</t>
        </is>
      </c>
      <c r="P675" t="inlineStr">
        <is>
          <t>Raj Kumar</t>
        </is>
      </c>
      <c r="Q675" t="inlineStr">
        <is>
          <t>Bad</t>
        </is>
      </c>
    </row>
    <row r="676">
      <c r="A676" t="inlineStr">
        <is>
          <t>aditya.c</t>
        </is>
      </c>
      <c r="B676" t="inlineStr">
        <is>
          <t>Aditya Chakraborty</t>
        </is>
      </c>
      <c r="C676" t="inlineStr">
        <is>
          <t>aditya.c@osmosys.co</t>
        </is>
      </c>
      <c r="D676" t="inlineStr">
        <is>
          <t>incident-reporter</t>
        </is>
      </c>
      <c r="E676">
        <f>HYPERLINK("http://gitlab.osmosys.co/incident-reporter/incident-reporter-angular-portal", "OQSHA Portal")</f>
        <v/>
      </c>
      <c r="F676">
        <f>HYPERLINK("http://gitlab.osmosys.co/incident-reporter/incident-reporter-angular-portal/-/merge_requests/3392", "feat: implement ptw copy feature")</f>
        <v/>
      </c>
      <c r="G676" t="inlineStr">
        <is>
          <t>feat/ptw-copy</t>
        </is>
      </c>
      <c r="H676" t="inlineStr">
        <is>
          <t>sprint-18</t>
        </is>
      </c>
      <c r="I676" t="inlineStr">
        <is>
          <t>merged</t>
        </is>
      </c>
      <c r="J676" t="inlineStr">
        <is>
          <t>8e6d34a3a64d926432763ae15cecfcc3c4de69d2</t>
        </is>
      </c>
      <c r="K676">
        <f>HYPERLINK("http://gitlab.osmosys.co/incident-reporter/incident-reporter-angular-portal/-/merge_requests/3392#note_242198", "Updated screen recording")</f>
        <v/>
      </c>
      <c r="L676" t="inlineStr">
        <is>
          <t>2025-07-25 21:53:47.968 IST</t>
        </is>
      </c>
      <c r="M676" t="inlineStr">
        <is>
          <t>Aditya Chakraborty</t>
        </is>
      </c>
      <c r="N676" t="inlineStr">
        <is>
          <t>No</t>
        </is>
      </c>
      <c r="O676" t="inlineStr">
        <is>
          <t>Yes</t>
        </is>
      </c>
      <c r="P676" t="inlineStr">
        <is>
          <t>Raj Kumar</t>
        </is>
      </c>
      <c r="Q676" t="inlineStr">
        <is>
          <t>Bad</t>
        </is>
      </c>
    </row>
    <row r="677">
      <c r="A677" t="inlineStr">
        <is>
          <t>aditya.c</t>
        </is>
      </c>
      <c r="B677" t="inlineStr">
        <is>
          <t>Aditya Chakraborty</t>
        </is>
      </c>
      <c r="C677" t="inlineStr">
        <is>
          <t>aditya.c@osmosys.co</t>
        </is>
      </c>
      <c r="D677" t="inlineStr">
        <is>
          <t>incident-reporter</t>
        </is>
      </c>
      <c r="E677">
        <f>HYPERLINK("http://gitlab.osmosys.co/incident-reporter/incident-reporter-angular-portal", "OQSHA Portal")</f>
        <v/>
      </c>
      <c r="F677">
        <f>HYPERLINK("http://gitlab.osmosys.co/incident-reporter/incident-reporter-angular-portal/-/merge_requests/3392", "feat: implement ptw copy feature")</f>
        <v/>
      </c>
      <c r="G677" t="inlineStr">
        <is>
          <t>feat/ptw-copy</t>
        </is>
      </c>
      <c r="H677" t="inlineStr">
        <is>
          <t>sprint-18</t>
        </is>
      </c>
      <c r="I677" t="inlineStr">
        <is>
          <t>merged</t>
        </is>
      </c>
      <c r="J677" t="inlineStr">
        <is>
          <t>4e149228783328e503efdad243a4903675055d62</t>
        </is>
      </c>
      <c r="K677">
        <f>HYPERLINK("http://gitlab.osmosys.co/incident-reporter/incident-reporter-angular-portal/-/merge_requests/3392#note_241687", "Don't use 'any' date type")</f>
        <v/>
      </c>
      <c r="L677" t="inlineStr">
        <is>
          <t>2025-07-25 08:41:08.090 IST</t>
        </is>
      </c>
      <c r="M677" t="inlineStr">
        <is>
          <t>Soundariya B</t>
        </is>
      </c>
      <c r="N677" t="inlineStr">
        <is>
          <t>Yes</t>
        </is>
      </c>
      <c r="O677" t="inlineStr">
        <is>
          <t>Yes</t>
        </is>
      </c>
      <c r="P677" t="inlineStr">
        <is>
          <t>Soundariya B</t>
        </is>
      </c>
      <c r="Q677" t="inlineStr">
        <is>
          <t>Bad</t>
        </is>
      </c>
    </row>
    <row r="678">
      <c r="A678" t="inlineStr">
        <is>
          <t>aditya.c</t>
        </is>
      </c>
      <c r="B678" t="inlineStr">
        <is>
          <t>Aditya Chakraborty</t>
        </is>
      </c>
      <c r="C678" t="inlineStr">
        <is>
          <t>aditya.c@osmosys.co</t>
        </is>
      </c>
      <c r="D678" t="inlineStr">
        <is>
          <t>incident-reporter</t>
        </is>
      </c>
      <c r="E678">
        <f>HYPERLINK("http://gitlab.osmosys.co/incident-reporter/incident-reporter-angular-portal", "OQSHA Portal")</f>
        <v/>
      </c>
      <c r="F678">
        <f>HYPERLINK("http://gitlab.osmosys.co/incident-reporter/incident-reporter-angular-portal/-/merge_requests/3392", "feat: implement ptw copy feature")</f>
        <v/>
      </c>
      <c r="G678" t="inlineStr">
        <is>
          <t>feat/ptw-copy</t>
        </is>
      </c>
      <c r="H678" t="inlineStr">
        <is>
          <t>sprint-18</t>
        </is>
      </c>
      <c r="I678" t="inlineStr">
        <is>
          <t>merged</t>
        </is>
      </c>
      <c r="J678" t="inlineStr">
        <is>
          <t>71de81842105a580c0a91bea577762aa213e901f</t>
        </is>
      </c>
      <c r="K678">
        <f>HYPERLINK("http://gitlab.osmosys.co/incident-reporter/incident-reporter-angular-portal/-/merge_requests/3392#note_241690", "Error toastr is missing please add it")</f>
        <v/>
      </c>
      <c r="L678" t="inlineStr">
        <is>
          <t>2025-07-25 08:47:23.128 IST</t>
        </is>
      </c>
      <c r="M678" t="inlineStr">
        <is>
          <t>Soundariya B</t>
        </is>
      </c>
      <c r="N678" t="inlineStr">
        <is>
          <t>Yes</t>
        </is>
      </c>
      <c r="O678" t="inlineStr">
        <is>
          <t>Yes</t>
        </is>
      </c>
      <c r="P678" t="inlineStr">
        <is>
          <t>Soundariya B</t>
        </is>
      </c>
      <c r="Q678" t="inlineStr">
        <is>
          <t>Bad</t>
        </is>
      </c>
    </row>
    <row r="679">
      <c r="A679" t="inlineStr">
        <is>
          <t>aditya.c</t>
        </is>
      </c>
      <c r="B679" t="inlineStr">
        <is>
          <t>Aditya Chakraborty</t>
        </is>
      </c>
      <c r="C679" t="inlineStr">
        <is>
          <t>aditya.c@osmosys.co</t>
        </is>
      </c>
      <c r="D679" t="inlineStr">
        <is>
          <t>incident-reporter</t>
        </is>
      </c>
      <c r="E679">
        <f>HYPERLINK("http://gitlab.osmosys.co/incident-reporter/incident-reporter-angular-portal", "OQSHA Portal")</f>
        <v/>
      </c>
      <c r="F679">
        <f>HYPERLINK("http://gitlab.osmosys.co/incident-reporter/incident-reporter-angular-portal/-/merge_requests/3392", "feat: implement ptw copy feature")</f>
        <v/>
      </c>
      <c r="G679" t="inlineStr">
        <is>
          <t>feat/ptw-copy</t>
        </is>
      </c>
      <c r="H679" t="inlineStr">
        <is>
          <t>sprint-18</t>
        </is>
      </c>
      <c r="I679" t="inlineStr">
        <is>
          <t>merged</t>
        </is>
      </c>
      <c r="J679" t="inlineStr">
        <is>
          <t>29efa51e87c74270ebfa39b9ad41411eb425ae3d</t>
        </is>
      </c>
      <c r="K679">
        <f>HYPERLINK("http://gitlab.osmosys.co/incident-reporter/incident-reporter-angular-portal/-/merge_requests/3392#note_241893", "Why are these lines not under this function **fetchDepartmentById?** As it using commonly in 2 please places so please bring it under that function")</f>
        <v/>
      </c>
      <c r="L679" t="inlineStr">
        <is>
          <t>2025-07-25 16:19:41.323 IST</t>
        </is>
      </c>
      <c r="M679" t="inlineStr">
        <is>
          <t>Soundariya B</t>
        </is>
      </c>
      <c r="N679" t="inlineStr">
        <is>
          <t>Yes</t>
        </is>
      </c>
      <c r="O679" t="inlineStr">
        <is>
          <t>Yes</t>
        </is>
      </c>
      <c r="P679" t="inlineStr">
        <is>
          <t>Raj Kumar</t>
        </is>
      </c>
      <c r="Q679" t="inlineStr">
        <is>
          <t>Good</t>
        </is>
      </c>
    </row>
    <row r="680">
      <c r="A680" t="inlineStr">
        <is>
          <t>aditya.c</t>
        </is>
      </c>
      <c r="B680" t="inlineStr">
        <is>
          <t>Aditya Chakraborty</t>
        </is>
      </c>
      <c r="C680" t="inlineStr">
        <is>
          <t>aditya.c@osmosys.co</t>
        </is>
      </c>
      <c r="D680" t="inlineStr">
        <is>
          <t>incident-reporter</t>
        </is>
      </c>
      <c r="E680">
        <f>HYPERLINK("http://gitlab.osmosys.co/incident-reporter/incident-reporter-angular-portal", "OQSHA Portal")</f>
        <v/>
      </c>
      <c r="F680">
        <f>HYPERLINK("http://gitlab.osmosys.co/incident-reporter/incident-reporter-angular-portal/-/merge_requests/3392", "feat: implement ptw copy feature")</f>
        <v/>
      </c>
      <c r="G680" t="inlineStr">
        <is>
          <t>feat/ptw-copy</t>
        </is>
      </c>
      <c r="H680" t="inlineStr">
        <is>
          <t>sprint-18</t>
        </is>
      </c>
      <c r="I680" t="inlineStr">
        <is>
          <t>merged</t>
        </is>
      </c>
      <c r="J680" t="inlineStr">
        <is>
          <t>29efa51e87c74270ebfa39b9ad41411eb425ae3d</t>
        </is>
      </c>
      <c r="K680">
        <f>HYPERLINK("http://gitlab.osmosys.co/incident-reporter/incident-reporter-angular-portal/-/merge_requests/3392#note_242225", "Updated to this block
` private setDepartmentInForm(departmentId: number): void {
    const department = this.departmentList.find((d) =&gt; d.Id === departmentId);
    if (department) {
      this.viewPTWFormModel.DepartmentId = [department];
    }
  }
`")</f>
        <v/>
      </c>
      <c r="L680" t="inlineStr">
        <is>
          <t>2025-07-25 22:32:52.092 IST</t>
        </is>
      </c>
      <c r="M680" t="inlineStr">
        <is>
          <t>Aditya Chakraborty</t>
        </is>
      </c>
      <c r="N680" t="inlineStr">
        <is>
          <t>No</t>
        </is>
      </c>
      <c r="O680" t="inlineStr">
        <is>
          <t>Yes</t>
        </is>
      </c>
      <c r="P680" t="inlineStr">
        <is>
          <t>Raj Kumar</t>
        </is>
      </c>
      <c r="Q680" t="inlineStr">
        <is>
          <t>Good</t>
        </is>
      </c>
    </row>
    <row r="681">
      <c r="A681" t="inlineStr">
        <is>
          <t>aditya.c</t>
        </is>
      </c>
      <c r="B681" t="inlineStr">
        <is>
          <t>Aditya Chakraborty</t>
        </is>
      </c>
      <c r="C681" t="inlineStr">
        <is>
          <t>aditya.c@osmosys.co</t>
        </is>
      </c>
      <c r="D681" t="inlineStr">
        <is>
          <t>incident-reporter</t>
        </is>
      </c>
      <c r="E681">
        <f>HYPERLINK("http://gitlab.osmosys.co/incident-reporter/incident-reporter-angular-portal", "OQSHA Portal")</f>
        <v/>
      </c>
      <c r="F681">
        <f>HYPERLINK("http://gitlab.osmosys.co/incident-reporter/incident-reporter-angular-portal/-/merge_requests/3390", "feat: add setup module visiblity based on org preferences")</f>
        <v/>
      </c>
      <c r="G681" t="inlineStr">
        <is>
          <t>feat/setup-visibility</t>
        </is>
      </c>
      <c r="H681" t="inlineStr">
        <is>
          <t>sprint-17</t>
        </is>
      </c>
      <c r="I681" t="inlineStr">
        <is>
          <t>merged</t>
        </is>
      </c>
      <c r="J681" t="inlineStr">
        <is>
          <t>2059ef30a3d60ddc849f1777ea02aff541975c02</t>
        </is>
      </c>
      <c r="K681">
        <f>HYPERLINK("http://gitlab.osmosys.co/incident-reporter/incident-reporter-angular-portal/-/merge_requests/3390#note_233678", "Declare the data type")</f>
        <v/>
      </c>
      <c r="L681" t="inlineStr">
        <is>
          <t>2025-07-09 17:09:18.886 IST</t>
        </is>
      </c>
      <c r="M681" t="inlineStr">
        <is>
          <t>Soundariya B</t>
        </is>
      </c>
      <c r="N681" t="inlineStr">
        <is>
          <t>Yes</t>
        </is>
      </c>
      <c r="O681" t="inlineStr">
        <is>
          <t>Yes</t>
        </is>
      </c>
      <c r="P681" t="inlineStr">
        <is>
          <t>Soundariya B</t>
        </is>
      </c>
      <c r="Q681" t="inlineStr">
        <is>
          <t>Bad</t>
        </is>
      </c>
    </row>
    <row r="682">
      <c r="A682" t="inlineStr">
        <is>
          <t>aditya.c</t>
        </is>
      </c>
      <c r="B682" t="inlineStr">
        <is>
          <t>Aditya Chakraborty</t>
        </is>
      </c>
      <c r="C682" t="inlineStr">
        <is>
          <t>aditya.c@osmosys.co</t>
        </is>
      </c>
      <c r="D682" t="inlineStr">
        <is>
          <t>incident-reporter</t>
        </is>
      </c>
      <c r="E682">
        <f>HYPERLINK("http://gitlab.osmosys.co/incident-reporter/incident-reporter-angular-portal", "OQSHA Portal")</f>
        <v/>
      </c>
      <c r="F682">
        <f>HYPERLINK("http://gitlab.osmosys.co/incident-reporter/incident-reporter-angular-portal/-/merge_requests/3390", "feat: add setup module visiblity based on org preferences")</f>
        <v/>
      </c>
      <c r="G682" t="inlineStr">
        <is>
          <t>feat/setup-visibility</t>
        </is>
      </c>
      <c r="H682" t="inlineStr">
        <is>
          <t>sprint-17</t>
        </is>
      </c>
      <c r="I682" t="inlineStr">
        <is>
          <t>merged</t>
        </is>
      </c>
      <c r="J682" t="inlineStr">
        <is>
          <t>2059ef30a3d60ddc849f1777ea02aff541975c02</t>
        </is>
      </c>
      <c r="K682">
        <f>HYPERLINK("http://gitlab.osmosys.co/incident-reporter/incident-reporter-angular-portal/-/merge_requests/3390#note_233961", "No, we cannot declare a datatype because there is no proper structure to page flags. In the future if and when more items are added - it will be difficult to maintain
I only declared it as a global variable, previously it was a local constant
![image](/uploads/f44518a5f8d6d65890ecd695b80d12c4/image.png){width=394 height=205}")</f>
        <v/>
      </c>
      <c r="L682" t="inlineStr">
        <is>
          <t>2025-07-10 10:43:09.003 IST</t>
        </is>
      </c>
      <c r="M682" t="inlineStr">
        <is>
          <t>Aditya Chakraborty</t>
        </is>
      </c>
      <c r="N682" t="inlineStr">
        <is>
          <t>No</t>
        </is>
      </c>
      <c r="O682" t="inlineStr">
        <is>
          <t>Yes</t>
        </is>
      </c>
      <c r="P682" t="inlineStr">
        <is>
          <t>Soundariya B</t>
        </is>
      </c>
      <c r="Q682" t="inlineStr">
        <is>
          <t>Bad</t>
        </is>
      </c>
    </row>
    <row r="683">
      <c r="A683" t="inlineStr">
        <is>
          <t>aditya.c</t>
        </is>
      </c>
      <c r="B683" t="inlineStr">
        <is>
          <t>Aditya Chakraborty</t>
        </is>
      </c>
      <c r="C683" t="inlineStr">
        <is>
          <t>aditya.c@osmosys.co</t>
        </is>
      </c>
      <c r="D683" t="inlineStr">
        <is>
          <t>incident-reporter</t>
        </is>
      </c>
      <c r="E683">
        <f>HYPERLINK("http://gitlab.osmosys.co/incident-reporter/incident-reporter-angular-portal", "OQSHA Portal")</f>
        <v/>
      </c>
      <c r="F683">
        <f>HYPERLINK("http://gitlab.osmosys.co/incident-reporter/incident-reporter-angular-portal/-/merge_requests/3390", "feat: add setup module visiblity based on org preferences")</f>
        <v/>
      </c>
      <c r="G683" t="inlineStr">
        <is>
          <t>feat/setup-visibility</t>
        </is>
      </c>
      <c r="H683" t="inlineStr">
        <is>
          <t>sprint-17</t>
        </is>
      </c>
      <c r="I683" t="inlineStr">
        <is>
          <t>merged</t>
        </is>
      </c>
      <c r="J683" t="inlineStr">
        <is>
          <t>c80739559cbdaa94fa543f510c8daf5175727d29</t>
        </is>
      </c>
      <c r="K683">
        <f>HYPERLINK("http://gitlab.osmosys.co/incident-reporter/incident-reporter-angular-portal/-/merge_requests/3390#note_233679", "Segregate and more clear, try to use this and test once
```
private readonly setupPageMap: Record&lt;string, string[]&gt; = {
  Tickets: ['DASHBOARD_MENU.TICKET_CATEGORY'],
  Tasks: ['DASHBOARD_MENU.TASK_CATEGORY', 'DASHBOARD_MENU.TASK_STATUS'],
  'Audit Management': ['DASHBOARD_MENU.AUDIT_TYPE'],
  'PPE Issuance': ['DASHBOARD_MENU.PPE_ITEM'],
  Inspections: ['DASHBOARD_MENU.INSPECTION_TYPE'],
  'Permit to work': ['DASHBOARD_MENU.PTW_SETUP'],
  Assets: ['DASHBOARD_MENU.ASSET_TYPE'],
  HIRA: ['DASHBOARD_MENU.HIRA_TYPE'],
  Library: ['DASHBOARD_MENU.PILLAR'],
  MOC: ['DASHBOARD_MENU.MOC_TYPE'],
};
getSetupPagesByModuleId(moduleId: string): string[] {
  const moduleName = this.acmModules?.find(m =&gt; m.Id.toString() === moduleId)?.Name;
  return moduleName ? this.setupPageMap[moduleName] ?? [] : [];
}
```
```
private getSetupPagesToHide(pageFlags: any[]): string[] {
  return pageFlags
    .filter(flag =&gt; flag.ShowSetupPage === false)
    .flatMap(flag =&gt; this.getSetupPagesByModuleId(flag.acmModuleId.toString()));
}
```
```
filterSetupPagesByShowSetupFlag(filteredNavItems: any[], pageFlags: any[]): any[] {
  const setupMenu = filteredNavItems.find(
    item =&gt; item.name === this.translate.instant('DASHBOARD_MENU.SETUP')
  );
  if (!setupMenu?.children || !Array.isArray(pageFlags)) {
    return filteredNavItems;
  }
  const setupPagesToHide = this.getSetupPagesToHide(pageFlags);
  setupMenu.children = setupMenu.children.filter(child =&gt; {
    const translatedChildName = this.translate.instant(child.name);
    return !setupPagesToHide.some(pageToHide =&gt; 
      this.translate.instant(pageToHide) === translatedChildName
    );
  });
  return filteredNavItems;
}
```")</f>
        <v/>
      </c>
      <c r="L683" t="inlineStr">
        <is>
          <t>2025-07-09 17:09:18.947 IST</t>
        </is>
      </c>
      <c r="M683" t="inlineStr">
        <is>
          <t>Soundariya B</t>
        </is>
      </c>
      <c r="N683" t="inlineStr">
        <is>
          <t>Yes</t>
        </is>
      </c>
      <c r="O683" t="inlineStr">
        <is>
          <t>Yes</t>
        </is>
      </c>
      <c r="P683" t="inlineStr">
        <is>
          <t>Soundariya B</t>
        </is>
      </c>
      <c r="Q683" t="inlineStr">
        <is>
          <t>Good</t>
        </is>
      </c>
    </row>
    <row r="684">
      <c r="A684" t="inlineStr">
        <is>
          <t>aditya.c</t>
        </is>
      </c>
      <c r="B684" t="inlineStr">
        <is>
          <t>Aditya Chakraborty</t>
        </is>
      </c>
      <c r="C684" t="inlineStr">
        <is>
          <t>aditya.c@osmosys.co</t>
        </is>
      </c>
      <c r="D684" t="inlineStr">
        <is>
          <t>incident-reporter</t>
        </is>
      </c>
      <c r="E684">
        <f>HYPERLINK("http://gitlab.osmosys.co/incident-reporter/incident-reporter-angular-portal", "OQSHA Portal")</f>
        <v/>
      </c>
      <c r="F684">
        <f>HYPERLINK("http://gitlab.osmosys.co/incident-reporter/incident-reporter-angular-portal/-/merge_requests/3390", "feat: add setup module visiblity based on org preferences")</f>
        <v/>
      </c>
      <c r="G684" t="inlineStr">
        <is>
          <t>feat/setup-visibility</t>
        </is>
      </c>
      <c r="H684" t="inlineStr">
        <is>
          <t>sprint-17</t>
        </is>
      </c>
      <c r="I684" t="inlineStr">
        <is>
          <t>merged</t>
        </is>
      </c>
      <c r="J684" t="inlineStr">
        <is>
          <t>c80739559cbdaa94fa543f510c8daf5175727d29</t>
        </is>
      </c>
      <c r="K684">
        <f>HYPERLINK("http://gitlab.osmosys.co/incident-reporter/incident-reporter-angular-portal/-/merge_requests/3390#note_233960", "Updated")</f>
        <v/>
      </c>
      <c r="L684" t="inlineStr">
        <is>
          <t>2025-07-10 10:41:10.348 IST</t>
        </is>
      </c>
      <c r="M684" t="inlineStr">
        <is>
          <t>Aditya Chakraborty</t>
        </is>
      </c>
      <c r="N684" t="inlineStr">
        <is>
          <t>No</t>
        </is>
      </c>
      <c r="O684" t="inlineStr">
        <is>
          <t>Yes</t>
        </is>
      </c>
      <c r="P684" t="inlineStr">
        <is>
          <t>Soundariya B</t>
        </is>
      </c>
      <c r="Q684" t="inlineStr">
        <is>
          <t>Good</t>
        </is>
      </c>
    </row>
    <row r="685">
      <c r="A685" t="inlineStr">
        <is>
          <t>aditya.c</t>
        </is>
      </c>
      <c r="B685" t="inlineStr">
        <is>
          <t>Aditya Chakraborty</t>
        </is>
      </c>
      <c r="C685" t="inlineStr">
        <is>
          <t>aditya.c@osmosys.co</t>
        </is>
      </c>
      <c r="D685" t="inlineStr">
        <is>
          <t>incident-reporter</t>
        </is>
      </c>
      <c r="E685">
        <f>HYPERLINK("http://gitlab.osmosys.co/incident-reporter/incident-reporter-angular-portal", "OQSHA Portal")</f>
        <v/>
      </c>
      <c r="F685">
        <f>HYPERLINK("http://gitlab.osmosys.co/incident-reporter/incident-reporter-angular-portal/-/merge_requests/3387", "feat: show user fields based on org preferences")</f>
        <v/>
      </c>
      <c r="G685" t="inlineStr">
        <is>
          <t>feat/user-visibility</t>
        </is>
      </c>
      <c r="H685" t="inlineStr">
        <is>
          <t>sprint-17</t>
        </is>
      </c>
      <c r="I685" t="inlineStr">
        <is>
          <t>merged</t>
        </is>
      </c>
      <c r="J685" t="inlineStr">
        <is>
          <t>8dc2b10d2d024c55be9993b00230ed36a0c6bbd8</t>
        </is>
      </c>
      <c r="K685">
        <f>HYPERLINK("http://gitlab.osmosys.co/incident-reporter/incident-reporter-angular-portal/-/merge_requests/3387#note_233657", "Declare data type")</f>
        <v/>
      </c>
      <c r="L685" t="inlineStr">
        <is>
          <t>2025-07-09 16:53:13.494 IST</t>
        </is>
      </c>
      <c r="M685" t="inlineStr">
        <is>
          <t>Soundariya B</t>
        </is>
      </c>
      <c r="N685" t="inlineStr">
        <is>
          <t>Yes</t>
        </is>
      </c>
      <c r="O685" t="inlineStr">
        <is>
          <t>Yes</t>
        </is>
      </c>
      <c r="P685" t="inlineStr">
        <is>
          <t>Soundariya B</t>
        </is>
      </c>
      <c r="Q685" t="inlineStr">
        <is>
          <t>Bad</t>
        </is>
      </c>
    </row>
    <row r="686">
      <c r="A686" t="inlineStr">
        <is>
          <t>aditya.c</t>
        </is>
      </c>
      <c r="B686" t="inlineStr">
        <is>
          <t>Aditya Chakraborty</t>
        </is>
      </c>
      <c r="C686" t="inlineStr">
        <is>
          <t>aditya.c@osmosys.co</t>
        </is>
      </c>
      <c r="D686" t="inlineStr">
        <is>
          <t>incident-reporter</t>
        </is>
      </c>
      <c r="E686">
        <f>HYPERLINK("http://gitlab.osmosys.co/incident-reporter/incident-reporter-angular-portal", "OQSHA Portal")</f>
        <v/>
      </c>
      <c r="F686">
        <f>HYPERLINK("http://gitlab.osmosys.co/incident-reporter/incident-reporter-angular-portal/-/merge_requests/3387", "feat: show user fields based on org preferences")</f>
        <v/>
      </c>
      <c r="G686" t="inlineStr">
        <is>
          <t>feat/user-visibility</t>
        </is>
      </c>
      <c r="H686" t="inlineStr">
        <is>
          <t>sprint-17</t>
        </is>
      </c>
      <c r="I686" t="inlineStr">
        <is>
          <t>merged</t>
        </is>
      </c>
      <c r="J686" t="inlineStr">
        <is>
          <t>8448a7f2a40522b6f5119090c6a5acee3f72f761</t>
        </is>
      </c>
      <c r="K686">
        <f>HYPERLINK("http://gitlab.osmosys.co/incident-reporter/incident-reporter-angular-portal/-/merge_requests/3387#note_233658", "Conduct testing and update the test case
Resolve the merge conflicts")</f>
        <v/>
      </c>
      <c r="L686" t="inlineStr">
        <is>
          <t>2025-07-09 16:53:13.553 IST</t>
        </is>
      </c>
      <c r="M686" t="inlineStr">
        <is>
          <t>Soundariya B</t>
        </is>
      </c>
      <c r="N686" t="inlineStr">
        <is>
          <t>Yes</t>
        </is>
      </c>
      <c r="O686" t="inlineStr">
        <is>
          <t>Yes</t>
        </is>
      </c>
      <c r="P686" t="inlineStr">
        <is>
          <t>Soundariya B</t>
        </is>
      </c>
      <c r="Q686" t="inlineStr">
        <is>
          <t>Bad</t>
        </is>
      </c>
    </row>
    <row r="687">
      <c r="A687" t="inlineStr">
        <is>
          <t>aditya.c</t>
        </is>
      </c>
      <c r="B687" t="inlineStr">
        <is>
          <t>Aditya Chakraborty</t>
        </is>
      </c>
      <c r="C687" t="inlineStr">
        <is>
          <t>aditya.c@osmosys.co</t>
        </is>
      </c>
      <c r="D687" t="inlineStr">
        <is>
          <t>incident-reporter</t>
        </is>
      </c>
      <c r="E687">
        <f>HYPERLINK("http://gitlab.osmosys.co/incident-reporter/incident-reporter-angular-portal", "OQSHA Portal")</f>
        <v/>
      </c>
      <c r="F687">
        <f>HYPERLINK("http://gitlab.osmosys.co/incident-reporter/incident-reporter-angular-portal/-/merge_requests/3387", "feat: show user fields based on org preferences")</f>
        <v/>
      </c>
      <c r="G687" t="inlineStr">
        <is>
          <t>feat/user-visibility</t>
        </is>
      </c>
      <c r="H687" t="inlineStr">
        <is>
          <t>sprint-17</t>
        </is>
      </c>
      <c r="I687" t="inlineStr">
        <is>
          <t>merged</t>
        </is>
      </c>
      <c r="J687" t="inlineStr">
        <is>
          <t>8448a7f2a40522b6f5119090c6a5acee3f72f761</t>
        </is>
      </c>
      <c r="K687">
        <f>HYPERLINK("http://gitlab.osmosys.co/incident-reporter/incident-reporter-angular-portal/-/merge_requests/3387#note_233888", "Only one test case is there - based on flags fields will be visible.
Tested changes in deployed API")</f>
        <v/>
      </c>
      <c r="L687" t="inlineStr">
        <is>
          <t>2025-07-09 23:23:04.022 IST</t>
        </is>
      </c>
      <c r="M687" t="inlineStr">
        <is>
          <t>Aditya Chakraborty</t>
        </is>
      </c>
      <c r="N687" t="inlineStr">
        <is>
          <t>No</t>
        </is>
      </c>
      <c r="O687" t="inlineStr">
        <is>
          <t>Yes</t>
        </is>
      </c>
      <c r="P687" t="inlineStr">
        <is>
          <t>Soundariya B</t>
        </is>
      </c>
      <c r="Q687" t="inlineStr">
        <is>
          <t>Bad</t>
        </is>
      </c>
    </row>
    <row r="688">
      <c r="A688" t="inlineStr">
        <is>
          <t>aditya.c</t>
        </is>
      </c>
      <c r="B688" t="inlineStr">
        <is>
          <t>Aditya Chakraborty</t>
        </is>
      </c>
      <c r="C688" t="inlineStr">
        <is>
          <t>aditya.c@osmosys.co</t>
        </is>
      </c>
      <c r="D688" t="inlineStr">
        <is>
          <t>incident-reporter</t>
        </is>
      </c>
      <c r="E688">
        <f>HYPERLINK("http://gitlab.osmosys.co/incident-reporter/incident-reporter-angular-portal", "OQSHA Portal")</f>
        <v/>
      </c>
      <c r="F688">
        <f>HYPERLINK("http://gitlab.osmosys.co/incident-reporter/incident-reporter-angular-portal/-/merge_requests/3384", "fix: multiple fixes in library module")</f>
        <v/>
      </c>
      <c r="G688" t="inlineStr">
        <is>
          <t>fix/lib-module</t>
        </is>
      </c>
      <c r="H688" t="inlineStr">
        <is>
          <t>sprint-17</t>
        </is>
      </c>
      <c r="I688" t="inlineStr">
        <is>
          <t>merged</t>
        </is>
      </c>
      <c r="J688" t="inlineStr">
        <is>
          <t>e06f3c0069e8ec5d6a4d1ccd8da52a0301325fce</t>
        </is>
      </c>
      <c r="K688">
        <f>HYPERLINK("http://gitlab.osmosys.co/incident-reporter/incident-reporter-angular-portal/-/merge_requests/3384#note_233642", "Instead of using message, it's better to use some code or an error code to validate this condition or if still no error code 
or status code for this and last resort to use this message then please take this up from constant file")</f>
        <v/>
      </c>
      <c r="L688" t="inlineStr">
        <is>
          <t>2025-07-09 16:36:06.864 IST</t>
        </is>
      </c>
      <c r="M688" t="inlineStr">
        <is>
          <t>Soundariya B</t>
        </is>
      </c>
      <c r="N688" t="inlineStr">
        <is>
          <t>Yes</t>
        </is>
      </c>
      <c r="O688" t="inlineStr">
        <is>
          <t>Yes</t>
        </is>
      </c>
      <c r="P688" t="inlineStr">
        <is>
          <t>Soundariya B</t>
        </is>
      </c>
      <c r="Q688" t="inlineStr">
        <is>
          <t>Bad</t>
        </is>
      </c>
    </row>
    <row r="689">
      <c r="A689" t="inlineStr">
        <is>
          <t>aditya.c</t>
        </is>
      </c>
      <c r="B689" t="inlineStr">
        <is>
          <t>Aditya Chakraborty</t>
        </is>
      </c>
      <c r="C689" t="inlineStr">
        <is>
          <t>aditya.c@osmosys.co</t>
        </is>
      </c>
      <c r="D689" t="inlineStr">
        <is>
          <t>incident-reporter</t>
        </is>
      </c>
      <c r="E689">
        <f>HYPERLINK("http://gitlab.osmosys.co/incident-reporter/incident-reporter-angular-portal", "OQSHA Portal")</f>
        <v/>
      </c>
      <c r="F689">
        <f>HYPERLINK("http://gitlab.osmosys.co/incident-reporter/incident-reporter-angular-portal/-/merge_requests/3384", "fix: multiple fixes in library module")</f>
        <v/>
      </c>
      <c r="G689" t="inlineStr">
        <is>
          <t>fix/lib-module</t>
        </is>
      </c>
      <c r="H689" t="inlineStr">
        <is>
          <t>sprint-17</t>
        </is>
      </c>
      <c r="I689" t="inlineStr">
        <is>
          <t>merged</t>
        </is>
      </c>
      <c r="J689" t="inlineStr">
        <is>
          <t>37dc2caa494c39419cc28f71f8c5a332ea8a47f1</t>
        </is>
      </c>
      <c r="K689">
        <f>HYPERLINK("http://gitlab.osmosys.co/incident-reporter/incident-reporter-angular-portal/-/merge_requests/3384#note_233643", "No need of message here")</f>
        <v/>
      </c>
      <c r="L689" t="inlineStr">
        <is>
          <t>2025-07-09 16:36:06.971 IST</t>
        </is>
      </c>
      <c r="M689" t="inlineStr">
        <is>
          <t>Soundariya B</t>
        </is>
      </c>
      <c r="N689" t="inlineStr">
        <is>
          <t>Yes</t>
        </is>
      </c>
      <c r="O689" t="inlineStr">
        <is>
          <t>Yes</t>
        </is>
      </c>
      <c r="P689" t="inlineStr">
        <is>
          <t>Soundariya B</t>
        </is>
      </c>
      <c r="Q689" t="inlineStr">
        <is>
          <t>Bad</t>
        </is>
      </c>
    </row>
    <row r="690">
      <c r="A690" t="inlineStr">
        <is>
          <t>aditya.c</t>
        </is>
      </c>
      <c r="B690" t="inlineStr">
        <is>
          <t>Aditya Chakraborty</t>
        </is>
      </c>
      <c r="C690" t="inlineStr">
        <is>
          <t>aditya.c@osmosys.co</t>
        </is>
      </c>
      <c r="D690" t="inlineStr">
        <is>
          <t>incident-reporter</t>
        </is>
      </c>
      <c r="E690">
        <f>HYPERLINK("http://gitlab.osmosys.co/incident-reporter/incident-reporter-angular-portal", "OQSHA Portal")</f>
        <v/>
      </c>
      <c r="F690">
        <f>HYPERLINK("http://gitlab.osmosys.co/incident-reporter/incident-reporter-angular-portal/-/merge_requests/3384", "fix: multiple fixes in library module")</f>
        <v/>
      </c>
      <c r="G690" t="inlineStr">
        <is>
          <t>fix/lib-module</t>
        </is>
      </c>
      <c r="H690" t="inlineStr">
        <is>
          <t>sprint-17</t>
        </is>
      </c>
      <c r="I690" t="inlineStr">
        <is>
          <t>merged</t>
        </is>
      </c>
      <c r="J690" t="inlineStr">
        <is>
          <t>b25977d37442b06a75a30e1b347a0cb813edb09c</t>
        </is>
      </c>
      <c r="K690">
        <f>HYPERLINK("http://gitlab.osmosys.co/incident-reporter/incident-reporter-angular-portal/-/merge_requests/3384#note_233644", "Why here $ using like jquery - is it necessary?")</f>
        <v/>
      </c>
      <c r="L690" t="inlineStr">
        <is>
          <t>2025-07-09 16:36:07.027 IST</t>
        </is>
      </c>
      <c r="M690" t="inlineStr">
        <is>
          <t>Soundariya B</t>
        </is>
      </c>
      <c r="N690" t="inlineStr">
        <is>
          <t>Yes</t>
        </is>
      </c>
      <c r="O690" t="inlineStr">
        <is>
          <t>Yes</t>
        </is>
      </c>
      <c r="P690" t="inlineStr">
        <is>
          <t>Soundariya B</t>
        </is>
      </c>
      <c r="Q690" t="inlineStr">
        <is>
          <t>Bad</t>
        </is>
      </c>
    </row>
    <row r="691">
      <c r="A691" t="inlineStr">
        <is>
          <t>aditya.c</t>
        </is>
      </c>
      <c r="B691" t="inlineStr">
        <is>
          <t>Aditya Chakraborty</t>
        </is>
      </c>
      <c r="C691" t="inlineStr">
        <is>
          <t>aditya.c@osmosys.co</t>
        </is>
      </c>
      <c r="D691" t="inlineStr">
        <is>
          <t>incident-reporter</t>
        </is>
      </c>
      <c r="E691">
        <f>HYPERLINK("http://gitlab.osmosys.co/incident-reporter/incident-reporter-angular-portal", "OQSHA Portal")</f>
        <v/>
      </c>
      <c r="F691">
        <f>HYPERLINK("http://gitlab.osmosys.co/incident-reporter/incident-reporter-angular-portal/-/merge_requests/3384", "fix: multiple fixes in library module")</f>
        <v/>
      </c>
      <c r="G691" t="inlineStr">
        <is>
          <t>fix/lib-module</t>
        </is>
      </c>
      <c r="H691" t="inlineStr">
        <is>
          <t>sprint-17</t>
        </is>
      </c>
      <c r="I691" t="inlineStr">
        <is>
          <t>merged</t>
        </is>
      </c>
      <c r="J691" t="inlineStr">
        <is>
          <t>d4b4d1b7974ca57c4d8d8fd584d35b79aa96d64c</t>
        </is>
      </c>
      <c r="K691">
        <f>HYPERLINK("http://gitlab.osmosys.co/incident-reporter/incident-reporter-angular-portal/-/merge_requests/3384#note_233645", "Same here")</f>
        <v/>
      </c>
      <c r="L691" t="inlineStr">
        <is>
          <t>2025-07-09 16:36:07.085 IST</t>
        </is>
      </c>
      <c r="M691" t="inlineStr">
        <is>
          <t>Soundariya B</t>
        </is>
      </c>
      <c r="N691" t="inlineStr">
        <is>
          <t>Yes</t>
        </is>
      </c>
      <c r="O691" t="inlineStr">
        <is>
          <t>Yes</t>
        </is>
      </c>
      <c r="P691" t="inlineStr">
        <is>
          <t>Soundariya B</t>
        </is>
      </c>
      <c r="Q691" t="inlineStr">
        <is>
          <t>Bad</t>
        </is>
      </c>
    </row>
    <row r="692">
      <c r="A692" t="inlineStr">
        <is>
          <t>aditya.c</t>
        </is>
      </c>
      <c r="B692" t="inlineStr">
        <is>
          <t>Aditya Chakraborty</t>
        </is>
      </c>
      <c r="C692" t="inlineStr">
        <is>
          <t>aditya.c@osmosys.co</t>
        </is>
      </c>
      <c r="D692" t="inlineStr">
        <is>
          <t>incident-reporter</t>
        </is>
      </c>
      <c r="E692">
        <f>HYPERLINK("http://gitlab.osmosys.co/incident-reporter/incident-reporter-angular-portal", "OQSHA Portal")</f>
        <v/>
      </c>
      <c r="F692">
        <f>HYPERLINK("http://gitlab.osmosys.co/incident-reporter/incident-reporter-angular-portal/-/merge_requests/3384", "fix: multiple fixes in library module")</f>
        <v/>
      </c>
      <c r="G692" t="inlineStr">
        <is>
          <t>fix/lib-module</t>
        </is>
      </c>
      <c r="H692" t="inlineStr">
        <is>
          <t>sprint-17</t>
        </is>
      </c>
      <c r="I692" t="inlineStr">
        <is>
          <t>merged</t>
        </is>
      </c>
      <c r="J692" t="inlineStr">
        <is>
          <t>2237c0dc110c7be5775b1be785c0e01a262f9cc5</t>
        </is>
      </c>
      <c r="K692">
        <f>HYPERLINK("http://gitlab.osmosys.co/incident-reporter/incident-reporter-angular-portal/-/merge_requests/3384#note_233646", "Meaningful variables should use")</f>
        <v/>
      </c>
      <c r="L692" t="inlineStr">
        <is>
          <t>2025-07-09 16:36:07.190 IST</t>
        </is>
      </c>
      <c r="M692" t="inlineStr">
        <is>
          <t>Soundariya B</t>
        </is>
      </c>
      <c r="N692" t="inlineStr">
        <is>
          <t>Yes</t>
        </is>
      </c>
      <c r="O692" t="inlineStr">
        <is>
          <t>Yes</t>
        </is>
      </c>
      <c r="P692" t="inlineStr">
        <is>
          <t>Soundariya B</t>
        </is>
      </c>
      <c r="Q692" t="inlineStr">
        <is>
          <t>Bad</t>
        </is>
      </c>
    </row>
    <row r="693">
      <c r="A693" t="inlineStr">
        <is>
          <t>aditya.c</t>
        </is>
      </c>
      <c r="B693" t="inlineStr">
        <is>
          <t>Aditya Chakraborty</t>
        </is>
      </c>
      <c r="C693" t="inlineStr">
        <is>
          <t>aditya.c@osmosys.co</t>
        </is>
      </c>
      <c r="D693" t="inlineStr">
        <is>
          <t>incident-reporter</t>
        </is>
      </c>
      <c r="E693">
        <f>HYPERLINK("http://gitlab.osmosys.co/incident-reporter/incident-reporter-angular-portal", "OQSHA Portal")</f>
        <v/>
      </c>
      <c r="F693">
        <f>HYPERLINK("http://gitlab.osmosys.co/incident-reporter/incident-reporter-angular-portal/-/merge_requests/3384", "fix: multiple fixes in library module")</f>
        <v/>
      </c>
      <c r="G693" t="inlineStr">
        <is>
          <t>fix/lib-module</t>
        </is>
      </c>
      <c r="H693" t="inlineStr">
        <is>
          <t>sprint-17</t>
        </is>
      </c>
      <c r="I693" t="inlineStr">
        <is>
          <t>merged</t>
        </is>
      </c>
      <c r="J693" t="inlineStr">
        <is>
          <t>a4990d3884442e3e43f7f166dd2aebc74d7524c4</t>
        </is>
      </c>
      <c r="K693">
        <f>HYPERLINK("http://gitlab.osmosys.co/incident-reporter/incident-reporter-angular-portal/-/merge_requests/3384#note_233647", "Same here, seems using in 2 places so can't we use 1 time only")</f>
        <v/>
      </c>
      <c r="L693" t="inlineStr">
        <is>
          <t>2025-07-09 16:36:07.246 IST</t>
        </is>
      </c>
      <c r="M693" t="inlineStr">
        <is>
          <t>Soundariya B</t>
        </is>
      </c>
      <c r="N693" t="inlineStr">
        <is>
          <t>Yes</t>
        </is>
      </c>
      <c r="O693" t="inlineStr">
        <is>
          <t>Yes</t>
        </is>
      </c>
      <c r="P693" t="inlineStr">
        <is>
          <t>Soundariya B</t>
        </is>
      </c>
      <c r="Q693" t="inlineStr">
        <is>
          <t>Bad</t>
        </is>
      </c>
    </row>
    <row r="694">
      <c r="A694" t="inlineStr">
        <is>
          <t>aditya.c</t>
        </is>
      </c>
      <c r="B694" t="inlineStr">
        <is>
          <t>Aditya Chakraborty</t>
        </is>
      </c>
      <c r="C694" t="inlineStr">
        <is>
          <t>aditya.c@osmosys.co</t>
        </is>
      </c>
      <c r="D694" t="inlineStr">
        <is>
          <t>incident-reporter</t>
        </is>
      </c>
      <c r="E694">
        <f>HYPERLINK("http://gitlab.osmosys.co/incident-reporter/incident-reporter-angular-portal", "OQSHA Portal")</f>
        <v/>
      </c>
      <c r="F694">
        <f>HYPERLINK("http://gitlab.osmosys.co/incident-reporter/incident-reporter-angular-portal/-/merge_requests/3380", "feat: add calendar toggle for inspections list page")</f>
        <v/>
      </c>
      <c r="G694" t="inlineStr">
        <is>
          <t>feat/calendar-inspections-view</t>
        </is>
      </c>
      <c r="H694" t="inlineStr">
        <is>
          <t>sprint-17</t>
        </is>
      </c>
      <c r="I694" t="inlineStr">
        <is>
          <t>merged</t>
        </is>
      </c>
      <c r="J694" t="inlineStr">
        <is>
          <t>9afd3d992bd29fe148c97fb9705875c4e83cc028</t>
        </is>
      </c>
      <c r="K694">
        <f>HYPERLINK("http://gitlab.osmosys.co/incident-reporter/incident-reporter-angular-portal/-/merge_requests/3380#note_233480", "http://gitlab.osmosys.co/incident-reporter/incident-reporter-angular-portal/-/merge_requests/3300#note_231496")</f>
        <v/>
      </c>
      <c r="L694" t="inlineStr">
        <is>
          <t>2025-07-09 13:20:21.381 IST</t>
        </is>
      </c>
      <c r="M694" t="inlineStr">
        <is>
          <t>Soundariya B</t>
        </is>
      </c>
      <c r="N694" t="inlineStr">
        <is>
          <t>Yes</t>
        </is>
      </c>
      <c r="O694" t="inlineStr">
        <is>
          <t>Yes</t>
        </is>
      </c>
      <c r="P694" t="inlineStr">
        <is>
          <t>Soundariya B</t>
        </is>
      </c>
      <c r="Q694" t="inlineStr">
        <is>
          <t>Good</t>
        </is>
      </c>
    </row>
    <row r="695">
      <c r="A695" t="inlineStr">
        <is>
          <t>aditya.c</t>
        </is>
      </c>
      <c r="B695" t="inlineStr">
        <is>
          <t>Aditya Chakraborty</t>
        </is>
      </c>
      <c r="C695" t="inlineStr">
        <is>
          <t>aditya.c@osmosys.co</t>
        </is>
      </c>
      <c r="D695" t="inlineStr">
        <is>
          <t>incident-reporter</t>
        </is>
      </c>
      <c r="E695">
        <f>HYPERLINK("http://gitlab.osmosys.co/incident-reporter/incident-reporter-angular-portal", "OQSHA Portal")</f>
        <v/>
      </c>
      <c r="F695">
        <f>HYPERLINK("http://gitlab.osmosys.co/incident-reporter/incident-reporter-angular-portal/-/merge_requests/3380", "feat: add calendar toggle for inspections list page")</f>
        <v/>
      </c>
      <c r="G695" t="inlineStr">
        <is>
          <t>feat/calendar-inspections-view</t>
        </is>
      </c>
      <c r="H695" t="inlineStr">
        <is>
          <t>sprint-17</t>
        </is>
      </c>
      <c r="I695" t="inlineStr">
        <is>
          <t>merged</t>
        </is>
      </c>
      <c r="J695" t="inlineStr">
        <is>
          <t>9afd3d992bd29fe148c97fb9705875c4e83cc028</t>
        </is>
      </c>
      <c r="K695">
        <f>HYPERLINK("http://gitlab.osmosys.co/incident-reporter/incident-reporter-angular-portal/-/merge_requests/3380#note_233979", "Updated")</f>
        <v/>
      </c>
      <c r="L695" t="inlineStr">
        <is>
          <t>2025-07-10 10:53:14.882 IST</t>
        </is>
      </c>
      <c r="M695" t="inlineStr">
        <is>
          <t>Aditya Chakraborty</t>
        </is>
      </c>
      <c r="N695" t="inlineStr">
        <is>
          <t>No</t>
        </is>
      </c>
      <c r="O695" t="inlineStr">
        <is>
          <t>Yes</t>
        </is>
      </c>
      <c r="P695" t="inlineStr">
        <is>
          <t>Soundariya B</t>
        </is>
      </c>
      <c r="Q695" t="inlineStr">
        <is>
          <t>Good</t>
        </is>
      </c>
    </row>
    <row r="696">
      <c r="A696" t="inlineStr">
        <is>
          <t>aditya.c</t>
        </is>
      </c>
      <c r="B696" t="inlineStr">
        <is>
          <t>Aditya Chakraborty</t>
        </is>
      </c>
      <c r="C696" t="inlineStr">
        <is>
          <t>aditya.c@osmosys.co</t>
        </is>
      </c>
      <c r="D696" t="inlineStr">
        <is>
          <t>incident-reporter</t>
        </is>
      </c>
      <c r="E696">
        <f>HYPERLINK("http://gitlab.osmosys.co/incident-reporter/incident-reporter-angular-portal", "OQSHA Portal")</f>
        <v/>
      </c>
      <c r="F696">
        <f>HYPERLINK("http://gitlab.osmosys.co/incident-reporter/incident-reporter-angular-portal/-/merge_requests/3380", "feat: add calendar toggle for inspections list page")</f>
        <v/>
      </c>
      <c r="G696" t="inlineStr">
        <is>
          <t>feat/calendar-inspections-view</t>
        </is>
      </c>
      <c r="H696" t="inlineStr">
        <is>
          <t>sprint-17</t>
        </is>
      </c>
      <c r="I696" t="inlineStr">
        <is>
          <t>merged</t>
        </is>
      </c>
      <c r="J696" t="inlineStr">
        <is>
          <t>fc778f0872aa0d8cbc20221571c0b409cc07b8d8</t>
        </is>
      </c>
      <c r="K696">
        <f>HYPERLINK("http://gitlab.osmosys.co/incident-reporter/incident-reporter-angular-portal/-/merge_requests/3380#note_233482", "http://gitlab.osmosys.co/incident-reporter/incident-reporter-angular-portal/-/merge_requests/3300#note_231498")</f>
        <v/>
      </c>
      <c r="L696" t="inlineStr">
        <is>
          <t>2025-07-09 13:20:21.456 IST</t>
        </is>
      </c>
      <c r="M696" t="inlineStr">
        <is>
          <t>Soundariya B</t>
        </is>
      </c>
      <c r="N696" t="inlineStr">
        <is>
          <t>Yes</t>
        </is>
      </c>
      <c r="O696" t="inlineStr">
        <is>
          <t>Yes</t>
        </is>
      </c>
      <c r="P696" t="inlineStr">
        <is>
          <t>Soundariya B</t>
        </is>
      </c>
      <c r="Q696" t="inlineStr">
        <is>
          <t>Neutral</t>
        </is>
      </c>
    </row>
    <row r="697">
      <c r="A697" t="inlineStr">
        <is>
          <t>aditya.c</t>
        </is>
      </c>
      <c r="B697" t="inlineStr">
        <is>
          <t>Aditya Chakraborty</t>
        </is>
      </c>
      <c r="C697" t="inlineStr">
        <is>
          <t>aditya.c@osmosys.co</t>
        </is>
      </c>
      <c r="D697" t="inlineStr">
        <is>
          <t>incident-reporter</t>
        </is>
      </c>
      <c r="E697">
        <f>HYPERLINK("http://gitlab.osmosys.co/incident-reporter/incident-reporter-angular-portal", "OQSHA Portal")</f>
        <v/>
      </c>
      <c r="F697">
        <f>HYPERLINK("http://gitlab.osmosys.co/incident-reporter/incident-reporter-angular-portal/-/merge_requests/3380", "feat: add calendar toggle for inspections list page")</f>
        <v/>
      </c>
      <c r="G697" t="inlineStr">
        <is>
          <t>feat/calendar-inspections-view</t>
        </is>
      </c>
      <c r="H697" t="inlineStr">
        <is>
          <t>sprint-17</t>
        </is>
      </c>
      <c r="I697" t="inlineStr">
        <is>
          <t>merged</t>
        </is>
      </c>
      <c r="J697" t="inlineStr">
        <is>
          <t>d69515872aeed46bdab353987347093e13bfefee</t>
        </is>
      </c>
      <c r="K697">
        <f>HYPERLINK("http://gitlab.osmosys.co/incident-reporter/incident-reporter-angular-portal/-/merge_requests/3380#note_233483", "http://gitlab.osmosys.co/incident-reporter/incident-reporter-angular-portal/-/merge_requests/3300#note_231499")</f>
        <v/>
      </c>
      <c r="L697" t="inlineStr">
        <is>
          <t>2025-07-09 13:20:21.523 IST</t>
        </is>
      </c>
      <c r="M697" t="inlineStr">
        <is>
          <t>Soundariya B</t>
        </is>
      </c>
      <c r="N697" t="inlineStr">
        <is>
          <t>Yes</t>
        </is>
      </c>
      <c r="O697" t="inlineStr">
        <is>
          <t>Yes</t>
        </is>
      </c>
      <c r="P697" t="inlineStr">
        <is>
          <t>Soundariya B</t>
        </is>
      </c>
      <c r="Q697" t="inlineStr">
        <is>
          <t>Good</t>
        </is>
      </c>
    </row>
    <row r="698">
      <c r="A698" t="inlineStr">
        <is>
          <t>aditya.c</t>
        </is>
      </c>
      <c r="B698" t="inlineStr">
        <is>
          <t>Aditya Chakraborty</t>
        </is>
      </c>
      <c r="C698" t="inlineStr">
        <is>
          <t>aditya.c@osmosys.co</t>
        </is>
      </c>
      <c r="D698" t="inlineStr">
        <is>
          <t>incident-reporter</t>
        </is>
      </c>
      <c r="E698">
        <f>HYPERLINK("http://gitlab.osmosys.co/incident-reporter/incident-reporter-angular-portal", "OQSHA Portal")</f>
        <v/>
      </c>
      <c r="F698">
        <f>HYPERLINK("http://gitlab.osmosys.co/incident-reporter/incident-reporter-angular-portal/-/merge_requests/3380", "feat: add calendar toggle for inspections list page")</f>
        <v/>
      </c>
      <c r="G698" t="inlineStr">
        <is>
          <t>feat/calendar-inspections-view</t>
        </is>
      </c>
      <c r="H698" t="inlineStr">
        <is>
          <t>sprint-17</t>
        </is>
      </c>
      <c r="I698" t="inlineStr">
        <is>
          <t>merged</t>
        </is>
      </c>
      <c r="J698" t="inlineStr">
        <is>
          <t>d69515872aeed46bdab353987347093e13bfefee</t>
        </is>
      </c>
      <c r="K698">
        <f>HYPERLINK("http://gitlab.osmosys.co/incident-reporter/incident-reporter-angular-portal/-/merge_requests/3380#note_233975", "It is because even though I am assigning constants.VIEW_TYPE.CALENDAR or constants.VIEW_TYPE.GRID, TypeScript only sees them as plain string, not as the specific string literals "calendar" or "grid".
The constant was inferred as:
`VIEW_TYPE: {
  GRID: string;
  CALENDAR: string;
}`
But it needed to be:
`VIEW_TYPE: {
  GRID: 'grid';
  CALENDAR: 'calendar';
}`
Updated by adding const")</f>
        <v/>
      </c>
      <c r="L698" t="inlineStr">
        <is>
          <t>2025-07-10 10:52:31.477 IST</t>
        </is>
      </c>
      <c r="M698" t="inlineStr">
        <is>
          <t>Aditya Chakraborty</t>
        </is>
      </c>
      <c r="N698" t="inlineStr">
        <is>
          <t>No</t>
        </is>
      </c>
      <c r="O698" t="inlineStr">
        <is>
          <t>Yes</t>
        </is>
      </c>
      <c r="P698" t="inlineStr">
        <is>
          <t>Soundariya B</t>
        </is>
      </c>
      <c r="Q698" t="inlineStr">
        <is>
          <t>Good</t>
        </is>
      </c>
    </row>
    <row r="699">
      <c r="A699" t="inlineStr">
        <is>
          <t>aditya.c</t>
        </is>
      </c>
      <c r="B699" t="inlineStr">
        <is>
          <t>Aditya Chakraborty</t>
        </is>
      </c>
      <c r="C699" t="inlineStr">
        <is>
          <t>aditya.c@osmosys.co</t>
        </is>
      </c>
      <c r="D699" t="inlineStr">
        <is>
          <t>incident-reporter</t>
        </is>
      </c>
      <c r="E699">
        <f>HYPERLINK("http://gitlab.osmosys.co/incident-reporter/incident-reporter-angular-portal", "OQSHA Portal")</f>
        <v/>
      </c>
      <c r="F699">
        <f>HYPERLINK("http://gitlab.osmosys.co/incident-reporter/incident-reporter-angular-portal/-/merge_requests/3374", "fix: resolve issues in library filters and datatable rendering")</f>
        <v/>
      </c>
      <c r="G699" t="inlineStr">
        <is>
          <t>fix/lib-list</t>
        </is>
      </c>
      <c r="H699" t="inlineStr">
        <is>
          <t>sprint-16</t>
        </is>
      </c>
      <c r="I699" t="inlineStr">
        <is>
          <t>merged</t>
        </is>
      </c>
      <c r="J699" t="inlineStr"/>
      <c r="K699" t="inlineStr"/>
      <c r="L699" t="inlineStr"/>
      <c r="M699" t="inlineStr"/>
      <c r="N699" t="inlineStr"/>
      <c r="O699" t="inlineStr"/>
      <c r="P699" t="inlineStr"/>
      <c r="Q699" t="inlineStr"/>
    </row>
    <row r="700">
      <c r="A700" t="inlineStr">
        <is>
          <t>aditya.c</t>
        </is>
      </c>
      <c r="B700" t="inlineStr">
        <is>
          <t>Aditya Chakraborty</t>
        </is>
      </c>
      <c r="C700" t="inlineStr">
        <is>
          <t>aditya.c@osmosys.co</t>
        </is>
      </c>
      <c r="D700" t="inlineStr">
        <is>
          <t>incident-reporter</t>
        </is>
      </c>
      <c r="E700">
        <f>HYPERLINK("http://gitlab.osmosys.co/incident-reporter/incident-reporter-angular-portal", "OQSHA Portal")</f>
        <v/>
      </c>
      <c r="F700">
        <f>HYPERLINK("http://gitlab.osmosys.co/incident-reporter/incident-reporter-angular-portal/-/merge_requests/3370", "fix: resolve issue of multiple api calls in tickets list")</f>
        <v/>
      </c>
      <c r="G700" t="inlineStr">
        <is>
          <t>fix/tickets-multiple-api</t>
        </is>
      </c>
      <c r="H700" t="inlineStr">
        <is>
          <t>sprint-16</t>
        </is>
      </c>
      <c r="I700" t="inlineStr">
        <is>
          <t>merged</t>
        </is>
      </c>
      <c r="J700" t="inlineStr"/>
      <c r="K700" t="inlineStr"/>
      <c r="L700" t="inlineStr"/>
      <c r="M700" t="inlineStr"/>
      <c r="N700" t="inlineStr"/>
      <c r="O700" t="inlineStr"/>
      <c r="P700" t="inlineStr"/>
      <c r="Q700" t="inlineStr"/>
    </row>
    <row r="701">
      <c r="A701" t="inlineStr">
        <is>
          <t>aditya.c</t>
        </is>
      </c>
      <c r="B701" t="inlineStr">
        <is>
          <t>Aditya Chakraborty</t>
        </is>
      </c>
      <c r="C701" t="inlineStr">
        <is>
          <t>aditya.c@osmosys.co</t>
        </is>
      </c>
      <c r="D701" t="inlineStr">
        <is>
          <t>incident-reporter</t>
        </is>
      </c>
      <c r="E701">
        <f>HYPERLINK("http://gitlab.osmosys.co/incident-reporter/incident-reporter-app", "OQSHA Mobile App")</f>
        <v/>
      </c>
      <c r="F701">
        <f>HYPERLINK("http://gitlab.osmosys.co/incident-reporter/incident-reporter-app/-/merge_requests/1860", "feat: add pending with field in moc")</f>
        <v/>
      </c>
      <c r="G701" t="inlineStr">
        <is>
          <t>feat/moc-pending-with</t>
        </is>
      </c>
      <c r="H701" t="inlineStr">
        <is>
          <t>sprint-19</t>
        </is>
      </c>
      <c r="I701" t="inlineStr">
        <is>
          <t>merged</t>
        </is>
      </c>
      <c r="J701" t="inlineStr">
        <is>
          <t>8a484056e8f699c8c8b489b3efdc35f0cc997ee7</t>
        </is>
      </c>
      <c r="K701">
        <f>HYPERLINK("http://gitlab.osmosys.co/incident-reporter/incident-reporter-app/-/merge_requests/1860#note_246304", "Use the meaningful variable name instead of a, b, etc.")</f>
        <v/>
      </c>
      <c r="L701" t="inlineStr">
        <is>
          <t>2025-08-02 15:32:27.121 IST</t>
        </is>
      </c>
      <c r="M701" t="inlineStr">
        <is>
          <t>Soundariya B</t>
        </is>
      </c>
      <c r="N701" t="inlineStr">
        <is>
          <t>Yes</t>
        </is>
      </c>
      <c r="O701" t="inlineStr">
        <is>
          <t>Yes</t>
        </is>
      </c>
      <c r="P701" t="inlineStr">
        <is>
          <t>Soundariya B</t>
        </is>
      </c>
      <c r="Q701" t="inlineStr">
        <is>
          <t>Bad</t>
        </is>
      </c>
    </row>
    <row r="702">
      <c r="A702" t="inlineStr">
        <is>
          <t>aditya.c</t>
        </is>
      </c>
      <c r="B702" t="inlineStr">
        <is>
          <t>Aditya Chakraborty</t>
        </is>
      </c>
      <c r="C702" t="inlineStr">
        <is>
          <t>aditya.c@osmosys.co</t>
        </is>
      </c>
      <c r="D702" t="inlineStr">
        <is>
          <t>incident-reporter</t>
        </is>
      </c>
      <c r="E702">
        <f>HYPERLINK("http://gitlab.osmosys.co/incident-reporter/incident-reporter-app", "OQSHA Mobile App")</f>
        <v/>
      </c>
      <c r="F702">
        <f>HYPERLINK("http://gitlab.osmosys.co/incident-reporter/incident-reporter-app/-/merge_requests/1857", "fix: resolve issue of broken preview of video in pssr comments")</f>
        <v/>
      </c>
      <c r="G702" t="inlineStr">
        <is>
          <t>fix/pssr-video</t>
        </is>
      </c>
      <c r="H702" t="inlineStr">
        <is>
          <t>sprint-19</t>
        </is>
      </c>
      <c r="I702" t="inlineStr">
        <is>
          <t>merged</t>
        </is>
      </c>
      <c r="J702" t="inlineStr">
        <is>
          <t>c198d2624093611e23ffd77108bb410cae04c50a</t>
        </is>
      </c>
      <c r="K702">
        <f>HYPERLINK("http://gitlab.osmosys.co/incident-reporter/incident-reporter-app/-/merge_requests/1857#note_245576", "PR title is not following the git standard")</f>
        <v/>
      </c>
      <c r="L702" t="inlineStr">
        <is>
          <t>2025-08-01 16:33:31.156 IST</t>
        </is>
      </c>
      <c r="M702" t="inlineStr">
        <is>
          <t>Soundariya B</t>
        </is>
      </c>
      <c r="N702" t="inlineStr">
        <is>
          <t>Yes</t>
        </is>
      </c>
      <c r="O702" t="inlineStr">
        <is>
          <t>Yes</t>
        </is>
      </c>
      <c r="P702" t="inlineStr">
        <is>
          <t>Soundariya B</t>
        </is>
      </c>
      <c r="Q702" t="inlineStr">
        <is>
          <t>Bad</t>
        </is>
      </c>
    </row>
    <row r="703">
      <c r="A703" t="inlineStr">
        <is>
          <t>aditya.c</t>
        </is>
      </c>
      <c r="B703" t="inlineStr">
        <is>
          <t>Aditya Chakraborty</t>
        </is>
      </c>
      <c r="C703" t="inlineStr">
        <is>
          <t>aditya.c@osmosys.co</t>
        </is>
      </c>
      <c r="D703" t="inlineStr">
        <is>
          <t>incident-reporter</t>
        </is>
      </c>
      <c r="E703">
        <f>HYPERLINK("http://gitlab.osmosys.co/incident-reporter/incident-reporter-app", "OQSHA Mobile App")</f>
        <v/>
      </c>
      <c r="F703">
        <f>HYPERLINK("http://gitlab.osmosys.co/incident-reporter/incident-reporter-app/-/merge_requests/1857", "fix: resolve issue of broken preview of video in pssr comments")</f>
        <v/>
      </c>
      <c r="G703" t="inlineStr">
        <is>
          <t>fix/pssr-video</t>
        </is>
      </c>
      <c r="H703" t="inlineStr">
        <is>
          <t>sprint-19</t>
        </is>
      </c>
      <c r="I703" t="inlineStr">
        <is>
          <t>merged</t>
        </is>
      </c>
      <c r="J703" t="inlineStr">
        <is>
          <t>e35d48d025c4668f11af1ac8fc03feecfdd30a4f</t>
        </is>
      </c>
      <c r="K703">
        <f>HYPERLINK("http://gitlab.osmosys.co/incident-reporter/incident-reporter-app/-/merge_requests/1857#note_245577", "* The video section is not aligned properly if you check the texts and the attachment is not aligned
* The video from the right side is cutting off and not padding from the right side.
  * There must be some fixed height of the attachment its seems abnormal
![image.png](/uploads/02efeb6ef58bc65361980044ad3608fe/image.png)")</f>
        <v/>
      </c>
      <c r="L703" t="inlineStr">
        <is>
          <t>2025-08-01 16:33:31.186 IST</t>
        </is>
      </c>
      <c r="M703" t="inlineStr">
        <is>
          <t>Soundariya B</t>
        </is>
      </c>
      <c r="N703" t="inlineStr">
        <is>
          <t>Yes</t>
        </is>
      </c>
      <c r="O703" t="inlineStr">
        <is>
          <t>Yes</t>
        </is>
      </c>
      <c r="P703" t="inlineStr">
        <is>
          <t>Soundariya B</t>
        </is>
      </c>
      <c r="Q703" t="inlineStr">
        <is>
          <t>Bad</t>
        </is>
      </c>
    </row>
    <row r="704">
      <c r="A704" t="inlineStr">
        <is>
          <t>aditya.c</t>
        </is>
      </c>
      <c r="B704" t="inlineStr">
        <is>
          <t>Aditya Chakraborty</t>
        </is>
      </c>
      <c r="C704" t="inlineStr">
        <is>
          <t>aditya.c@osmosys.co</t>
        </is>
      </c>
      <c r="D704" t="inlineStr">
        <is>
          <t>incident-reporter</t>
        </is>
      </c>
      <c r="E704">
        <f>HYPERLINK("http://gitlab.osmosys.co/incident-reporter/incident-reporter-app", "OQSHA Mobile App")</f>
        <v/>
      </c>
      <c r="F704">
        <f>HYPERLINK("http://gitlab.osmosys.co/incident-reporter/incident-reporter-app/-/merge_requests/1854", "fix: add validation to copy shift as well")</f>
        <v/>
      </c>
      <c r="G704" t="inlineStr">
        <is>
          <t>fix/copy-shift</t>
        </is>
      </c>
      <c r="H704" t="inlineStr">
        <is>
          <t>sprint-19</t>
        </is>
      </c>
      <c r="I704" t="inlineStr">
        <is>
          <t>opened</t>
        </is>
      </c>
      <c r="J704" t="inlineStr"/>
      <c r="K704" t="inlineStr"/>
      <c r="L704" t="inlineStr"/>
      <c r="M704" t="inlineStr"/>
      <c r="N704" t="inlineStr"/>
      <c r="O704" t="inlineStr"/>
      <c r="P704" t="inlineStr"/>
      <c r="Q704" t="inlineStr"/>
    </row>
    <row r="705">
      <c r="A705" t="inlineStr">
        <is>
          <t>aditya.c</t>
        </is>
      </c>
      <c r="B705" t="inlineStr">
        <is>
          <t>Aditya Chakraborty</t>
        </is>
      </c>
      <c r="C705" t="inlineStr">
        <is>
          <t>aditya.c@osmosys.co</t>
        </is>
      </c>
      <c r="D705" t="inlineStr">
        <is>
          <t>incident-reporter</t>
        </is>
      </c>
      <c r="E705">
        <f>HYPERLINK("http://gitlab.osmosys.co/incident-reporter/incident-reporter-app", "OQSHA Mobile App")</f>
        <v/>
      </c>
      <c r="F705">
        <f>HYPERLINK("http://gitlab.osmosys.co/incident-reporter/incident-reporter-app/-/merge_requests/1851", "fix: update logic to handle is manual flag and contractor details object")</f>
        <v/>
      </c>
      <c r="G705" t="inlineStr">
        <is>
          <t>fix/copy-ptw-flags</t>
        </is>
      </c>
      <c r="H705" t="inlineStr">
        <is>
          <t>sprint-18</t>
        </is>
      </c>
      <c r="I705" t="inlineStr">
        <is>
          <t>merged</t>
        </is>
      </c>
      <c r="J705" t="inlineStr">
        <is>
          <t>ecad5aa102c656316494b87020e5914d9f322502</t>
        </is>
      </c>
      <c r="K705">
        <f>HYPERLINK("http://gitlab.osmosys.co/incident-reporter/incident-reporter-app/-/merge_requests/1851#note_244299", "![image.png](//pinestem.com/api/AttachedFiles\37c88ba5-dd6a-4db8-9d6e-e23256d28843.png?download=true&amp;fileName=image.png)
No html changes for using this ptwContractorUsers variable
Please clarify the bug or requirement of this PR first then I will check it")</f>
        <v/>
      </c>
      <c r="L705" t="inlineStr">
        <is>
          <t>2025-07-30 15:24:12.759 IST</t>
        </is>
      </c>
      <c r="M705" t="inlineStr">
        <is>
          <t>Soundariya B</t>
        </is>
      </c>
      <c r="N705" t="inlineStr">
        <is>
          <t>Yes</t>
        </is>
      </c>
      <c r="O705" t="inlineStr">
        <is>
          <t>Yes</t>
        </is>
      </c>
      <c r="P705" t="inlineStr">
        <is>
          <t>Soundariya B</t>
        </is>
      </c>
      <c r="Q705" t="inlineStr">
        <is>
          <t>Bad</t>
        </is>
      </c>
    </row>
    <row r="706">
      <c r="A706" t="inlineStr">
        <is>
          <t>aditya.c</t>
        </is>
      </c>
      <c r="B706" t="inlineStr">
        <is>
          <t>Aditya Chakraborty</t>
        </is>
      </c>
      <c r="C706" t="inlineStr">
        <is>
          <t>aditya.c@osmosys.co</t>
        </is>
      </c>
      <c r="D706" t="inlineStr">
        <is>
          <t>incident-reporter</t>
        </is>
      </c>
      <c r="E706">
        <f>HYPERLINK("http://gitlab.osmosys.co/incident-reporter/incident-reporter-app", "OQSHA Mobile App")</f>
        <v/>
      </c>
      <c r="F706">
        <f>HYPERLINK("http://gitlab.osmosys.co/incident-reporter/incident-reporter-app/-/merge_requests/1851", "fix: update logic to handle is manual flag and contractor details object")</f>
        <v/>
      </c>
      <c r="G706" t="inlineStr">
        <is>
          <t>fix/copy-ptw-flags</t>
        </is>
      </c>
      <c r="H706" t="inlineStr">
        <is>
          <t>sprint-18</t>
        </is>
      </c>
      <c r="I706" t="inlineStr">
        <is>
          <t>merged</t>
        </is>
      </c>
      <c r="J706" t="inlineStr">
        <is>
          <t>ecad5aa102c656316494b87020e5914d9f322502</t>
        </is>
      </c>
      <c r="K706">
        <f>HYPERLINK("http://gitlab.osmosys.co/incident-reporter/incident-reporter-app/-/merge_requests/1851#note_244314", "The is Manual work permit works as 0 -&gt; true, 1 -&gt; false thats why the ! at the start while rendering
The PTW contractor proerpty has been updated to PtwCompanyUsers by Sayan thats why its not visible in my html changes")</f>
        <v/>
      </c>
      <c r="L706" t="inlineStr">
        <is>
          <t>2025-07-30 15:34:01.024 IST</t>
        </is>
      </c>
      <c r="M706" t="inlineStr">
        <is>
          <t>Aditya Chakraborty</t>
        </is>
      </c>
      <c r="N706" t="inlineStr">
        <is>
          <t>No</t>
        </is>
      </c>
      <c r="O706" t="inlineStr">
        <is>
          <t>Yes</t>
        </is>
      </c>
      <c r="P706" t="inlineStr">
        <is>
          <t>Soundariya B</t>
        </is>
      </c>
      <c r="Q706" t="inlineStr">
        <is>
          <t>Bad</t>
        </is>
      </c>
    </row>
    <row r="707">
      <c r="A707" t="inlineStr">
        <is>
          <t>aditya.c</t>
        </is>
      </c>
      <c r="B707" t="inlineStr">
        <is>
          <t>Aditya Chakraborty</t>
        </is>
      </c>
      <c r="C707" t="inlineStr">
        <is>
          <t>aditya.c@osmosys.co</t>
        </is>
      </c>
      <c r="D707" t="inlineStr">
        <is>
          <t>incident-reporter</t>
        </is>
      </c>
      <c r="E707">
        <f>HYPERLINK("http://gitlab.osmosys.co/incident-reporter/incident-reporter-app", "OQSHA Mobile App")</f>
        <v/>
      </c>
      <c r="F707">
        <f>HYPERLINK("http://gitlab.osmosys.co/incident-reporter/incident-reporter-app/-/merge_requests/1848", "fix: handle is manual flag and contractor field object in copy functionality")</f>
        <v/>
      </c>
      <c r="G707" t="inlineStr">
        <is>
          <t>fix/copy-ptw</t>
        </is>
      </c>
      <c r="H707" t="inlineStr">
        <is>
          <t>sprint-18</t>
        </is>
      </c>
      <c r="I707" t="inlineStr">
        <is>
          <t>closed</t>
        </is>
      </c>
      <c r="J707" t="inlineStr">
        <is>
          <t>9b409753ea5e21629fcfa557f72c128d31ccb125</t>
        </is>
      </c>
      <c r="K707">
        <f>HYPERLINK("http://gitlab.osmosys.co/incident-reporter/incident-reporter-app/-/merge_requests/1848#note_244135", "For a single change, why are there 46 commits? Just make sure nothing should be break or removed by mistakenly")</f>
        <v/>
      </c>
      <c r="L707" t="inlineStr">
        <is>
          <t>2025-07-30 12:41:19.950 IST</t>
        </is>
      </c>
      <c r="M707" t="inlineStr">
        <is>
          <t>Soundariya B</t>
        </is>
      </c>
      <c r="N707" t="inlineStr">
        <is>
          <t>Yes</t>
        </is>
      </c>
      <c r="O707" t="inlineStr">
        <is>
          <t>Yes</t>
        </is>
      </c>
      <c r="P707" t="inlineStr">
        <is>
          <t>Soundariya B</t>
        </is>
      </c>
      <c r="Q707" t="inlineStr">
        <is>
          <t>Bad</t>
        </is>
      </c>
    </row>
    <row r="708">
      <c r="A708" t="inlineStr">
        <is>
          <t>aditya.c</t>
        </is>
      </c>
      <c r="B708" t="inlineStr">
        <is>
          <t>Aditya Chakraborty</t>
        </is>
      </c>
      <c r="C708" t="inlineStr">
        <is>
          <t>aditya.c@osmosys.co</t>
        </is>
      </c>
      <c r="D708" t="inlineStr">
        <is>
          <t>incident-reporter</t>
        </is>
      </c>
      <c r="E708">
        <f>HYPERLINK("http://gitlab.osmosys.co/incident-reporter/incident-reporter-app", "OQSHA Mobile App")</f>
        <v/>
      </c>
      <c r="F708">
        <f>HYPERLINK("http://gitlab.osmosys.co/incident-reporter/incident-reporter-app/-/merge_requests/1848", "fix: handle is manual flag and contractor field object in copy functionality")</f>
        <v/>
      </c>
      <c r="G708" t="inlineStr">
        <is>
          <t>fix/copy-ptw</t>
        </is>
      </c>
      <c r="H708" t="inlineStr">
        <is>
          <t>sprint-18</t>
        </is>
      </c>
      <c r="I708" t="inlineStr">
        <is>
          <t>closed</t>
        </is>
      </c>
      <c r="J708" t="inlineStr">
        <is>
          <t>7b9db4bfa0b937703124fa4c0191e123f55679a5</t>
        </is>
      </c>
      <c r="K708">
        <f>HYPERLINK("http://gitlab.osmosys.co/incident-reporter/incident-reporter-app/-/merge_requests/1848#note_244136", "Where this assigned variable 'selectedUser' is used in HTML I can't see the changes of HTML to use this to render the contractor user object/fields")</f>
        <v/>
      </c>
      <c r="L708" t="inlineStr">
        <is>
          <t>2025-07-30 12:41:20.028 IST</t>
        </is>
      </c>
      <c r="M708" t="inlineStr">
        <is>
          <t>Soundariya B</t>
        </is>
      </c>
      <c r="N708" t="inlineStr">
        <is>
          <t>Yes</t>
        </is>
      </c>
      <c r="O708" t="inlineStr">
        <is>
          <t>Yes</t>
        </is>
      </c>
      <c r="P708" t="inlineStr">
        <is>
          <t>Soundariya B</t>
        </is>
      </c>
      <c r="Q708" t="inlineStr">
        <is>
          <t>Bad</t>
        </is>
      </c>
    </row>
    <row r="709">
      <c r="A709" t="inlineStr">
        <is>
          <t>aditya.c</t>
        </is>
      </c>
      <c r="B709" t="inlineStr">
        <is>
          <t>Aditya Chakraborty</t>
        </is>
      </c>
      <c r="C709" t="inlineStr">
        <is>
          <t>aditya.c@osmosys.co</t>
        </is>
      </c>
      <c r="D709" t="inlineStr">
        <is>
          <t>incident-reporter</t>
        </is>
      </c>
      <c r="E709">
        <f>HYPERLINK("http://gitlab.osmosys.co/incident-reporter/incident-reporter-app", "OQSHA Mobile App")</f>
        <v/>
      </c>
      <c r="F709">
        <f>HYPERLINK("http://gitlab.osmosys.co/incident-reporter/incident-reporter-app/-/merge_requests/1848", "fix: handle is manual flag and contractor field object in copy functionality")</f>
        <v/>
      </c>
      <c r="G709" t="inlineStr">
        <is>
          <t>fix/copy-ptw</t>
        </is>
      </c>
      <c r="H709" t="inlineStr">
        <is>
          <t>sprint-18</t>
        </is>
      </c>
      <c r="I709" t="inlineStr">
        <is>
          <t>closed</t>
        </is>
      </c>
      <c r="J709" t="inlineStr">
        <is>
          <t>5c8da30966e27ee5b64b6a167e0664608510fac8</t>
        </is>
      </c>
      <c r="K709">
        <f>HYPERLINK("http://gitlab.osmosys.co/incident-reporter/incident-reporter-app/-/merge_requests/1848#note_244142", "Issues - contractor field object
This fix is not visible in the video and changes")</f>
        <v/>
      </c>
      <c r="L709" t="inlineStr">
        <is>
          <t>2025-07-30 12:42:49.340 IST</t>
        </is>
      </c>
      <c r="M709" t="inlineStr">
        <is>
          <t>Soundariya B</t>
        </is>
      </c>
      <c r="N709" t="inlineStr">
        <is>
          <t>Yes</t>
        </is>
      </c>
      <c r="O709" t="inlineStr">
        <is>
          <t>Yes</t>
        </is>
      </c>
      <c r="P709" t="inlineStr">
        <is>
          <t>Soundariya B</t>
        </is>
      </c>
      <c r="Q709" t="inlineStr">
        <is>
          <t>Bad</t>
        </is>
      </c>
    </row>
    <row r="710">
      <c r="A710" t="inlineStr">
        <is>
          <t>aditya.c</t>
        </is>
      </c>
      <c r="B710" t="inlineStr">
        <is>
          <t>Aditya Chakraborty</t>
        </is>
      </c>
      <c r="C710" t="inlineStr">
        <is>
          <t>aditya.c@osmosys.co</t>
        </is>
      </c>
      <c r="D710" t="inlineStr">
        <is>
          <t>incident-reporter</t>
        </is>
      </c>
      <c r="E710">
        <f>HYPERLINK("http://gitlab.osmosys.co/incident-reporter/incident-reporter-app", "OQSHA Mobile App")</f>
        <v/>
      </c>
      <c r="F710">
        <f>HYPERLINK("http://gitlab.osmosys.co/incident-reporter/incident-reporter-app/-/merge_requests/1841", "fix: update pssr-history logic")</f>
        <v/>
      </c>
      <c r="G710" t="inlineStr">
        <is>
          <t>fix/pssr-history-logic</t>
        </is>
      </c>
      <c r="H710" t="inlineStr">
        <is>
          <t>sprint-18</t>
        </is>
      </c>
      <c r="I710" t="inlineStr">
        <is>
          <t>merged</t>
        </is>
      </c>
      <c r="J710" t="inlineStr">
        <is>
          <t>099acfc91b4a44989cd545699590f4bad1aa5b6c</t>
        </is>
      </c>
      <c r="K710">
        <f>HYPERLINK("http://gitlab.osmosys.co/incident-reporter/incident-reporter-app/-/merge_requests/1841#note_243689", "![image](/uploads/a3dd511481b05aac2ea09b5be959dbd6/image.png)
As its bug and a small fix so please fix it:
- CommentedBy name is not showing on UI
- Track history heading is not aligned It should move as bit from left to right")</f>
        <v/>
      </c>
      <c r="L710" t="inlineStr">
        <is>
          <t>2025-07-29 13:35:35.029 IST</t>
        </is>
      </c>
      <c r="M710" t="inlineStr">
        <is>
          <t>Soundariya B</t>
        </is>
      </c>
      <c r="N710" t="inlineStr">
        <is>
          <t>Yes</t>
        </is>
      </c>
      <c r="O710" t="inlineStr">
        <is>
          <t>No</t>
        </is>
      </c>
      <c r="P710" t="inlineStr"/>
      <c r="Q710" t="inlineStr">
        <is>
          <t>Bad</t>
        </is>
      </c>
    </row>
    <row r="711">
      <c r="A711" t="inlineStr">
        <is>
          <t>aditya.c</t>
        </is>
      </c>
      <c r="B711" t="inlineStr">
        <is>
          <t>Aditya Chakraborty</t>
        </is>
      </c>
      <c r="C711" t="inlineStr">
        <is>
          <t>aditya.c@osmosys.co</t>
        </is>
      </c>
      <c r="D711" t="inlineStr">
        <is>
          <t>incident-reporter</t>
        </is>
      </c>
      <c r="E711">
        <f>HYPERLINK("http://gitlab.osmosys.co/incident-reporter/incident-reporter-app", "OQSHA Mobile App")</f>
        <v/>
      </c>
      <c r="F711">
        <f>HYPERLINK("http://gitlab.osmosys.co/incident-reporter/incident-reporter-app/-/merge_requests/1841", "fix: update pssr-history logic")</f>
        <v/>
      </c>
      <c r="G711" t="inlineStr">
        <is>
          <t>fix/pssr-history-logic</t>
        </is>
      </c>
      <c r="H711" t="inlineStr">
        <is>
          <t>sprint-18</t>
        </is>
      </c>
      <c r="I711" t="inlineStr">
        <is>
          <t>merged</t>
        </is>
      </c>
      <c r="J711" t="inlineStr">
        <is>
          <t>3e7a96e31bc2d9d1256de3eefe4e42f281d86567</t>
        </is>
      </c>
      <c r="K711">
        <f>HYPERLINK("http://gitlab.osmosys.co/incident-reporter/incident-reporter-app/-/merge_requests/1841#note_243690", "For the small change why these many (45) commits?")</f>
        <v/>
      </c>
      <c r="L711" t="inlineStr">
        <is>
          <t>2025-07-29 13:35:35.071 IST</t>
        </is>
      </c>
      <c r="M711" t="inlineStr">
        <is>
          <t>Soundariya B</t>
        </is>
      </c>
      <c r="N711" t="inlineStr">
        <is>
          <t>Yes</t>
        </is>
      </c>
      <c r="O711" t="inlineStr">
        <is>
          <t>No</t>
        </is>
      </c>
      <c r="P711" t="inlineStr"/>
      <c r="Q711" t="inlineStr">
        <is>
          <t>Bad</t>
        </is>
      </c>
    </row>
    <row r="712">
      <c r="A712" t="inlineStr">
        <is>
          <t>aditya.c</t>
        </is>
      </c>
      <c r="B712" t="inlineStr">
        <is>
          <t>Aditya Chakraborty</t>
        </is>
      </c>
      <c r="C712" t="inlineStr">
        <is>
          <t>aditya.c@osmosys.co</t>
        </is>
      </c>
      <c r="D712" t="inlineStr">
        <is>
          <t>incident-reporter</t>
        </is>
      </c>
      <c r="E712">
        <f>HYPERLINK("http://gitlab.osmosys.co/incident-reporter/incident-reporter-app", "OQSHA Mobile App")</f>
        <v/>
      </c>
      <c r="F712">
        <f>HYPERLINK("http://gitlab.osmosys.co/incident-reporter/incident-reporter-app/-/merge_requests/1841", "fix: update pssr-history logic")</f>
        <v/>
      </c>
      <c r="G712" t="inlineStr">
        <is>
          <t>fix/pssr-history-logic</t>
        </is>
      </c>
      <c r="H712" t="inlineStr">
        <is>
          <t>sprint-18</t>
        </is>
      </c>
      <c r="I712" t="inlineStr">
        <is>
          <t>merged</t>
        </is>
      </c>
      <c r="J712" t="inlineStr">
        <is>
          <t>9fd4cf51e54b4948c6d7e84590ce86bfbe5030b7</t>
        </is>
      </c>
      <c r="K712">
        <f>HYPERLINK("http://gitlab.osmosys.co/incident-reporter/incident-reporter-app/-/merge_requests/1841#note_243696", "Get these kind of functions from helper file")</f>
        <v/>
      </c>
      <c r="L712" t="inlineStr">
        <is>
          <t>2025-07-29 13:42:36.566 IST</t>
        </is>
      </c>
      <c r="M712" t="inlineStr">
        <is>
          <t>Soundariya B</t>
        </is>
      </c>
      <c r="N712" t="inlineStr">
        <is>
          <t>Yes</t>
        </is>
      </c>
      <c r="O712" t="inlineStr">
        <is>
          <t>No</t>
        </is>
      </c>
      <c r="P712" t="inlineStr"/>
      <c r="Q712" t="inlineStr">
        <is>
          <t>Bad</t>
        </is>
      </c>
    </row>
    <row r="713">
      <c r="A713" t="inlineStr">
        <is>
          <t>aditya.c</t>
        </is>
      </c>
      <c r="B713" t="inlineStr">
        <is>
          <t>Aditya Chakraborty</t>
        </is>
      </c>
      <c r="C713" t="inlineStr">
        <is>
          <t>aditya.c@osmosys.co</t>
        </is>
      </c>
      <c r="D713" t="inlineStr">
        <is>
          <t>incident-reporter</t>
        </is>
      </c>
      <c r="E713">
        <f>HYPERLINK("http://gitlab.osmosys.co/incident-reporter/incident-reporter-app", "OQSHA Mobile App")</f>
        <v/>
      </c>
      <c r="F713">
        <f>HYPERLINK("http://gitlab.osmosys.co/incident-reporter/incident-reporter-app/-/merge_requests/1841", "fix: update pssr-history logic")</f>
        <v/>
      </c>
      <c r="G713" t="inlineStr">
        <is>
          <t>fix/pssr-history-logic</t>
        </is>
      </c>
      <c r="H713" t="inlineStr">
        <is>
          <t>sprint-18</t>
        </is>
      </c>
      <c r="I713" t="inlineStr">
        <is>
          <t>merged</t>
        </is>
      </c>
      <c r="J713" t="inlineStr">
        <is>
          <t>185e7552afe5e4d86bab4f568a644a8b9d765206</t>
        </is>
      </c>
      <c r="K713">
        <f>HYPERLINK("http://gitlab.osmosys.co/incident-reporter/incident-reporter-app/-/merge_requests/1841#note_243697", "This already in helper or shared service file I think please check once and reuse, this kind of method should take from helper/common file")</f>
        <v/>
      </c>
      <c r="L713" t="inlineStr">
        <is>
          <t>2025-07-29 13:42:36.632 IST</t>
        </is>
      </c>
      <c r="M713" t="inlineStr">
        <is>
          <t>Soundariya B</t>
        </is>
      </c>
      <c r="N713" t="inlineStr">
        <is>
          <t>Yes</t>
        </is>
      </c>
      <c r="O713" t="inlineStr">
        <is>
          <t>No</t>
        </is>
      </c>
      <c r="P713" t="inlineStr"/>
      <c r="Q713" t="inlineStr">
        <is>
          <t>Bad</t>
        </is>
      </c>
    </row>
    <row r="714">
      <c r="A714" t="inlineStr">
        <is>
          <t>aditya.c</t>
        </is>
      </c>
      <c r="B714" t="inlineStr">
        <is>
          <t>Aditya Chakraborty</t>
        </is>
      </c>
      <c r="C714" t="inlineStr">
        <is>
          <t>aditya.c@osmosys.co</t>
        </is>
      </c>
      <c r="D714" t="inlineStr">
        <is>
          <t>incident-reporter</t>
        </is>
      </c>
      <c r="E714">
        <f>HYPERLINK("http://gitlab.osmosys.co/incident-reporter/incident-reporter-app", "OQSHA Mobile App")</f>
        <v/>
      </c>
      <c r="F714">
        <f>HYPERLINK("http://gitlab.osmosys.co/incident-reporter/incident-reporter-app/-/merge_requests/1841", "fix: update pssr-history logic")</f>
        <v/>
      </c>
      <c r="G714" t="inlineStr">
        <is>
          <t>fix/pssr-history-logic</t>
        </is>
      </c>
      <c r="H714" t="inlineStr">
        <is>
          <t>sprint-18</t>
        </is>
      </c>
      <c r="I714" t="inlineStr">
        <is>
          <t>merged</t>
        </is>
      </c>
      <c r="J714" t="inlineStr">
        <is>
          <t>518d71682bb53eeaeb929c98136a87fa96405a87</t>
        </is>
      </c>
      <c r="K714">
        <f>HYPERLINK("http://gitlab.osmosys.co/incident-reporter/incident-reporter-app/-/merge_requests/1841#note_243698", "No catch and error block for this")</f>
        <v/>
      </c>
      <c r="L714" t="inlineStr">
        <is>
          <t>2025-07-29 13:42:36.690 IST</t>
        </is>
      </c>
      <c r="M714" t="inlineStr">
        <is>
          <t>Soundariya B</t>
        </is>
      </c>
      <c r="N714" t="inlineStr">
        <is>
          <t>Yes</t>
        </is>
      </c>
      <c r="O714" t="inlineStr">
        <is>
          <t>No</t>
        </is>
      </c>
      <c r="P714" t="inlineStr"/>
      <c r="Q714" t="inlineStr">
        <is>
          <t>Bad</t>
        </is>
      </c>
    </row>
    <row r="715">
      <c r="A715" t="inlineStr">
        <is>
          <t>aditya.c</t>
        </is>
      </c>
      <c r="B715" t="inlineStr">
        <is>
          <t>Aditya Chakraborty</t>
        </is>
      </c>
      <c r="C715" t="inlineStr">
        <is>
          <t>aditya.c@osmosys.co</t>
        </is>
      </c>
      <c r="D715" t="inlineStr">
        <is>
          <t>incident-reporter</t>
        </is>
      </c>
      <c r="E715">
        <f>HYPERLINK("http://gitlab.osmosys.co/incident-reporter/incident-reporter-app", "OQSHA Mobile App")</f>
        <v/>
      </c>
      <c r="F715">
        <f>HYPERLINK("http://gitlab.osmosys.co/incident-reporter/incident-reporter-app/-/merge_requests/1840", "fix: update history API and comments logic")</f>
        <v/>
      </c>
      <c r="G715" t="inlineStr">
        <is>
          <t>fix/pssr-history</t>
        </is>
      </c>
      <c r="H715" t="inlineStr">
        <is>
          <t>sprint-18</t>
        </is>
      </c>
      <c r="I715" t="inlineStr">
        <is>
          <t>closed</t>
        </is>
      </c>
      <c r="J715" t="inlineStr"/>
      <c r="K715" t="inlineStr"/>
      <c r="L715" t="inlineStr"/>
      <c r="M715" t="inlineStr"/>
      <c r="N715" t="inlineStr"/>
      <c r="O715" t="inlineStr"/>
      <c r="P715" t="inlineStr"/>
      <c r="Q715" t="inlineStr"/>
    </row>
    <row r="716">
      <c r="A716" t="inlineStr">
        <is>
          <t>aditya.c</t>
        </is>
      </c>
      <c r="B716" t="inlineStr">
        <is>
          <t>Aditya Chakraborty</t>
        </is>
      </c>
      <c r="C716" t="inlineStr">
        <is>
          <t>aditya.c@osmosys.co</t>
        </is>
      </c>
      <c r="D716" t="inlineStr">
        <is>
          <t>incident-reporter</t>
        </is>
      </c>
      <c r="E716">
        <f>HYPERLINK("http://gitlab.osmosys.co/incident-reporter/incident-reporter-app", "OQSHA Mobile App")</f>
        <v/>
      </c>
      <c r="F716">
        <f>HYPERLINK("http://gitlab.osmosys.co/incident-reporter/incident-reporter-app/-/merge_requests/1817", "fix: resolve multiple issues on pssr app")</f>
        <v/>
      </c>
      <c r="G716" t="inlineStr">
        <is>
          <t>fix/pssr-fixes</t>
        </is>
      </c>
      <c r="H716" t="inlineStr">
        <is>
          <t>sprint-18</t>
        </is>
      </c>
      <c r="I716" t="inlineStr">
        <is>
          <t>merged</t>
        </is>
      </c>
      <c r="J716" t="inlineStr">
        <is>
          <t>106a578a8265eb260ba5e2944ffc458e372f6f60</t>
        </is>
      </c>
      <c r="K716">
        <f>HYPERLINK("http://gitlab.osmosys.co/incident-reporter/incident-reporter-app/-/merge_requests/1817#note_240624", "Here this word is not required
Rename it - isPssrEdit -- Fix it everywhere")</f>
        <v/>
      </c>
      <c r="L716" t="inlineStr">
        <is>
          <t>2025-07-23 00:37:58.010 IST</t>
        </is>
      </c>
      <c r="M716" t="inlineStr">
        <is>
          <t>Soundariya B</t>
        </is>
      </c>
      <c r="N716" t="inlineStr">
        <is>
          <t>Yes</t>
        </is>
      </c>
      <c r="O716" t="inlineStr">
        <is>
          <t>Yes</t>
        </is>
      </c>
      <c r="P716" t="inlineStr">
        <is>
          <t>Soundariya B</t>
        </is>
      </c>
      <c r="Q716" t="inlineStr">
        <is>
          <t>Bad</t>
        </is>
      </c>
    </row>
    <row r="717">
      <c r="A717" t="inlineStr">
        <is>
          <t>aditya.c</t>
        </is>
      </c>
      <c r="B717" t="inlineStr">
        <is>
          <t>Aditya Chakraborty</t>
        </is>
      </c>
      <c r="C717" t="inlineStr">
        <is>
          <t>aditya.c@osmosys.co</t>
        </is>
      </c>
      <c r="D717" t="inlineStr">
        <is>
          <t>incident-reporter</t>
        </is>
      </c>
      <c r="E717">
        <f>HYPERLINK("http://gitlab.osmosys.co/incident-reporter/incident-reporter-app", "OQSHA Mobile App")</f>
        <v/>
      </c>
      <c r="F717">
        <f>HYPERLINK("http://gitlab.osmosys.co/incident-reporter/incident-reporter-app/-/merge_requests/1817", "fix: resolve multiple issues on pssr app")</f>
        <v/>
      </c>
      <c r="G717" t="inlineStr">
        <is>
          <t>fix/pssr-fixes</t>
        </is>
      </c>
      <c r="H717" t="inlineStr">
        <is>
          <t>sprint-18</t>
        </is>
      </c>
      <c r="I717" t="inlineStr">
        <is>
          <t>merged</t>
        </is>
      </c>
      <c r="J717" t="inlineStr">
        <is>
          <t>cb2e6aa1280e0b88fe2e33c3695f7df884c1555e</t>
        </is>
      </c>
      <c r="K717">
        <f>HYPERLINK("http://gitlab.osmosys.co/incident-reporter/incident-reporter-app/-/merge_requests/1817#note_240625", "Use meaning full variable")</f>
        <v/>
      </c>
      <c r="L717" t="inlineStr">
        <is>
          <t>2025-07-23 00:37:58.119 IST</t>
        </is>
      </c>
      <c r="M717" t="inlineStr">
        <is>
          <t>Soundariya B</t>
        </is>
      </c>
      <c r="N717" t="inlineStr">
        <is>
          <t>Yes</t>
        </is>
      </c>
      <c r="O717" t="inlineStr">
        <is>
          <t>Yes</t>
        </is>
      </c>
      <c r="P717" t="inlineStr">
        <is>
          <t>Soundariya B</t>
        </is>
      </c>
      <c r="Q717" t="inlineStr">
        <is>
          <t>Bad</t>
        </is>
      </c>
    </row>
    <row r="718">
      <c r="A718" t="inlineStr">
        <is>
          <t>aditya.c</t>
        </is>
      </c>
      <c r="B718" t="inlineStr">
        <is>
          <t>Aditya Chakraborty</t>
        </is>
      </c>
      <c r="C718" t="inlineStr">
        <is>
          <t>aditya.c@osmosys.co</t>
        </is>
      </c>
      <c r="D718" t="inlineStr">
        <is>
          <t>incident-reporter</t>
        </is>
      </c>
      <c r="E718">
        <f>HYPERLINK("http://gitlab.osmosys.co/incident-reporter/incident-reporter-app", "OQSHA Mobile App")</f>
        <v/>
      </c>
      <c r="F718">
        <f>HYPERLINK("http://gitlab.osmosys.co/incident-reporter/incident-reporter-app/-/merge_requests/1817", "fix: resolve multiple issues on pssr app")</f>
        <v/>
      </c>
      <c r="G718" t="inlineStr">
        <is>
          <t>fix/pssr-fixes</t>
        </is>
      </c>
      <c r="H718" t="inlineStr">
        <is>
          <t>sprint-18</t>
        </is>
      </c>
      <c r="I718" t="inlineStr">
        <is>
          <t>merged</t>
        </is>
      </c>
      <c r="J718" t="inlineStr">
        <is>
          <t>7fe95792fa6a0e853a6ef08bfb589f0c175000e6</t>
        </is>
      </c>
      <c r="K718">
        <f>HYPERLINK("http://gitlab.osmosys.co/incident-reporter/incident-reporter-app/-/merge_requests/1817#note_240626", "Get localstorage key from constant file")</f>
        <v/>
      </c>
      <c r="L718" t="inlineStr">
        <is>
          <t>2025-07-23 00:37:58.182 IST</t>
        </is>
      </c>
      <c r="M718" t="inlineStr">
        <is>
          <t>Soundariya B</t>
        </is>
      </c>
      <c r="N718" t="inlineStr">
        <is>
          <t>Yes</t>
        </is>
      </c>
      <c r="O718" t="inlineStr">
        <is>
          <t>Yes</t>
        </is>
      </c>
      <c r="P718" t="inlineStr">
        <is>
          <t>Soundariya B</t>
        </is>
      </c>
      <c r="Q718" t="inlineStr">
        <is>
          <t>Bad</t>
        </is>
      </c>
    </row>
    <row r="719">
      <c r="A719" t="inlineStr">
        <is>
          <t>aditya.c</t>
        </is>
      </c>
      <c r="B719" t="inlineStr">
        <is>
          <t>Aditya Chakraborty</t>
        </is>
      </c>
      <c r="C719" t="inlineStr">
        <is>
          <t>aditya.c@osmosys.co</t>
        </is>
      </c>
      <c r="D719" t="inlineStr">
        <is>
          <t>incident-reporter</t>
        </is>
      </c>
      <c r="E719">
        <f>HYPERLINK("http://gitlab.osmosys.co/incident-reporter/incident-reporter-app", "OQSHA Mobile App")</f>
        <v/>
      </c>
      <c r="F719">
        <f>HYPERLINK("http://gitlab.osmosys.co/incident-reporter/incident-reporter-app/-/merge_requests/1813", "feat: update logic to render sub checks on ui if parent check is selected")</f>
        <v/>
      </c>
      <c r="G719" t="inlineStr">
        <is>
          <t>feat/add-ptw-subchecks</t>
        </is>
      </c>
      <c r="H719" t="inlineStr">
        <is>
          <t>sprint-18</t>
        </is>
      </c>
      <c r="I719" t="inlineStr">
        <is>
          <t>merged</t>
        </is>
      </c>
      <c r="J719" t="inlineStr">
        <is>
          <t>a38443670756ae35b12298b3ea0bcebdc55a2b70</t>
        </is>
      </c>
      <c r="K719">
        <f>HYPERLINK("http://gitlab.osmosys.co/incident-reporter/incident-reporter-app/-/merge_requests/1813#note_241670", "* Use meaning full variable not i,j,k
* Get the hardcoded values from constant file
* Img tag should have alt and not empty
* Alt attribute value should be related to src image only")</f>
        <v/>
      </c>
      <c r="L719" t="inlineStr">
        <is>
          <t>2025-07-25 08:27:28.816 IST</t>
        </is>
      </c>
      <c r="M719" t="inlineStr">
        <is>
          <t>Soundariya B</t>
        </is>
      </c>
      <c r="N719" t="inlineStr">
        <is>
          <t>Yes</t>
        </is>
      </c>
      <c r="O719" t="inlineStr">
        <is>
          <t>Yes</t>
        </is>
      </c>
      <c r="P719" t="inlineStr">
        <is>
          <t>Raj Kumar</t>
        </is>
      </c>
      <c r="Q719" t="inlineStr">
        <is>
          <t>Bad</t>
        </is>
      </c>
    </row>
    <row r="720">
      <c r="A720" t="inlineStr">
        <is>
          <t>aditya.c</t>
        </is>
      </c>
      <c r="B720" t="inlineStr">
        <is>
          <t>Aditya Chakraborty</t>
        </is>
      </c>
      <c r="C720" t="inlineStr">
        <is>
          <t>aditya.c@osmosys.co</t>
        </is>
      </c>
      <c r="D720" t="inlineStr">
        <is>
          <t>incident-reporter</t>
        </is>
      </c>
      <c r="E720">
        <f>HYPERLINK("http://gitlab.osmosys.co/incident-reporter/incident-reporter-app", "OQSHA Mobile App")</f>
        <v/>
      </c>
      <c r="F720">
        <f>HYPERLINK("http://gitlab.osmosys.co/incident-reporter/incident-reporter-app/-/merge_requests/1813", "feat: update logic to render sub checks on ui if parent check is selected")</f>
        <v/>
      </c>
      <c r="G720" t="inlineStr">
        <is>
          <t>feat/add-ptw-subchecks</t>
        </is>
      </c>
      <c r="H720" t="inlineStr">
        <is>
          <t>sprint-18</t>
        </is>
      </c>
      <c r="I720" t="inlineStr">
        <is>
          <t>merged</t>
        </is>
      </c>
      <c r="J720" t="inlineStr">
        <is>
          <t>a38443670756ae35b12298b3ea0bcebdc55a2b70</t>
        </is>
      </c>
      <c r="K720">
        <f>HYPERLINK("http://gitlab.osmosys.co/incident-reporter/incident-reporter-app/-/merge_requests/1813#note_241843", "Still I can see in new commit that things are not yet fixed everywhere - Do you want to point out all such places and add the threads if yes then you will face the increasing number of threads or comments on your name so from next time do let me know.
* Get the hardcoded values from constant file
* Img tag should have alt and not empty
* Alt attribute value should be related to src image only")</f>
        <v/>
      </c>
      <c r="L720" t="inlineStr">
        <is>
          <t>2025-07-25 15:36:47.336 IST</t>
        </is>
      </c>
      <c r="M720" t="inlineStr">
        <is>
          <t>Soundariya B</t>
        </is>
      </c>
      <c r="N720" t="inlineStr">
        <is>
          <t>Yes</t>
        </is>
      </c>
      <c r="O720" t="inlineStr">
        <is>
          <t>Yes</t>
        </is>
      </c>
      <c r="P720" t="inlineStr">
        <is>
          <t>Raj Kumar</t>
        </is>
      </c>
      <c r="Q720" t="inlineStr">
        <is>
          <t>Bad</t>
        </is>
      </c>
    </row>
    <row r="721">
      <c r="A721" t="inlineStr">
        <is>
          <t>aditya.c</t>
        </is>
      </c>
      <c r="B721" t="inlineStr">
        <is>
          <t>Aditya Chakraborty</t>
        </is>
      </c>
      <c r="C721" t="inlineStr">
        <is>
          <t>aditya.c@osmosys.co</t>
        </is>
      </c>
      <c r="D721" t="inlineStr">
        <is>
          <t>incident-reporter</t>
        </is>
      </c>
      <c r="E721">
        <f>HYPERLINK("http://gitlab.osmosys.co/incident-reporter/incident-reporter-app", "OQSHA Mobile App")</f>
        <v/>
      </c>
      <c r="F721">
        <f>HYPERLINK("http://gitlab.osmosys.co/incident-reporter/incident-reporter-app/-/merge_requests/1813", "feat: update logic to render sub checks on ui if parent check is selected")</f>
        <v/>
      </c>
      <c r="G721" t="inlineStr">
        <is>
          <t>feat/add-ptw-subchecks</t>
        </is>
      </c>
      <c r="H721" t="inlineStr">
        <is>
          <t>sprint-18</t>
        </is>
      </c>
      <c r="I721" t="inlineStr">
        <is>
          <t>merged</t>
        </is>
      </c>
      <c r="J721" t="inlineStr">
        <is>
          <t>e376820e5b8b25391b60d00700e1583de81284d9</t>
        </is>
      </c>
      <c r="K721">
        <f>HYPERLINK("http://gitlab.osmosys.co/incident-reporter/incident-reporter-app/-/merge_requests/1813#note_241671", "Bad variable")</f>
        <v/>
      </c>
      <c r="L721" t="inlineStr">
        <is>
          <t>2025-07-25 08:27:28.937 IST</t>
        </is>
      </c>
      <c r="M721" t="inlineStr">
        <is>
          <t>Soundariya B</t>
        </is>
      </c>
      <c r="N721" t="inlineStr">
        <is>
          <t>Yes</t>
        </is>
      </c>
      <c r="O721" t="inlineStr">
        <is>
          <t>Yes</t>
        </is>
      </c>
      <c r="P721" t="inlineStr">
        <is>
          <t>Soundariya B</t>
        </is>
      </c>
      <c r="Q721" t="inlineStr">
        <is>
          <t>Bad</t>
        </is>
      </c>
    </row>
    <row r="722">
      <c r="A722" t="inlineStr">
        <is>
          <t>aditya.c</t>
        </is>
      </c>
      <c r="B722" t="inlineStr">
        <is>
          <t>Aditya Chakraborty</t>
        </is>
      </c>
      <c r="C722" t="inlineStr">
        <is>
          <t>aditya.c@osmosys.co</t>
        </is>
      </c>
      <c r="D722" t="inlineStr">
        <is>
          <t>incident-reporter</t>
        </is>
      </c>
      <c r="E722">
        <f>HYPERLINK("http://gitlab.osmosys.co/incident-reporter/incident-reporter-app", "OQSHA Mobile App")</f>
        <v/>
      </c>
      <c r="F722">
        <f>HYPERLINK("http://gitlab.osmosys.co/incident-reporter/incident-reporter-app/-/merge_requests/1813", "feat: update logic to render sub checks on ui if parent check is selected")</f>
        <v/>
      </c>
      <c r="G722" t="inlineStr">
        <is>
          <t>feat/add-ptw-subchecks</t>
        </is>
      </c>
      <c r="H722" t="inlineStr">
        <is>
          <t>sprint-18</t>
        </is>
      </c>
      <c r="I722" t="inlineStr">
        <is>
          <t>merged</t>
        </is>
      </c>
      <c r="J722" t="inlineStr">
        <is>
          <t>2e757929a4ee169afb81f0ac37be3a67832589b7</t>
        </is>
      </c>
      <c r="K722">
        <f>HYPERLINK("http://gitlab.osmosys.co/incident-reporter/incident-reporter-app/-/merge_requests/1813#note_241672", "Use  block structure")</f>
        <v/>
      </c>
      <c r="L722" t="inlineStr">
        <is>
          <t>2025-07-25 08:27:28.994 IST</t>
        </is>
      </c>
      <c r="M722" t="inlineStr">
        <is>
          <t>Soundariya B</t>
        </is>
      </c>
      <c r="N722" t="inlineStr">
        <is>
          <t>Yes</t>
        </is>
      </c>
      <c r="O722" t="inlineStr">
        <is>
          <t>Yes</t>
        </is>
      </c>
      <c r="P722" t="inlineStr">
        <is>
          <t>Soundariya B</t>
        </is>
      </c>
      <c r="Q722" t="inlineStr">
        <is>
          <t>Bad</t>
        </is>
      </c>
    </row>
    <row r="723">
      <c r="A723" t="inlineStr">
        <is>
          <t>aditya.c</t>
        </is>
      </c>
      <c r="B723" t="inlineStr">
        <is>
          <t>Aditya Chakraborty</t>
        </is>
      </c>
      <c r="C723" t="inlineStr">
        <is>
          <t>aditya.c@osmosys.co</t>
        </is>
      </c>
      <c r="D723" t="inlineStr">
        <is>
          <t>incident-reporter</t>
        </is>
      </c>
      <c r="E723">
        <f>HYPERLINK("http://gitlab.osmosys.co/incident-reporter/incident-reporter-app", "OQSHA Mobile App")</f>
        <v/>
      </c>
      <c r="F723">
        <f>HYPERLINK("http://gitlab.osmosys.co/incident-reporter/incident-reporter-app/-/merge_requests/1813", "feat: update logic to render sub checks on ui if parent check is selected")</f>
        <v/>
      </c>
      <c r="G723" t="inlineStr">
        <is>
          <t>feat/add-ptw-subchecks</t>
        </is>
      </c>
      <c r="H723" t="inlineStr">
        <is>
          <t>sprint-18</t>
        </is>
      </c>
      <c r="I723" t="inlineStr">
        <is>
          <t>merged</t>
        </is>
      </c>
      <c r="J723" t="inlineStr">
        <is>
          <t>f6c90f65af93f867522fd9c8415dd07c0cb45139</t>
        </is>
      </c>
      <c r="K723">
        <f>HYPERLINK("http://gitlab.osmosys.co/incident-reporter/incident-reporter-app/-/merge_requests/1813#note_241673", "Get the media type from constant file")</f>
        <v/>
      </c>
      <c r="L723" t="inlineStr">
        <is>
          <t>2025-07-25 08:27:29.047 IST</t>
        </is>
      </c>
      <c r="M723" t="inlineStr">
        <is>
          <t>Soundariya B</t>
        </is>
      </c>
      <c r="N723" t="inlineStr">
        <is>
          <t>Yes</t>
        </is>
      </c>
      <c r="O723" t="inlineStr">
        <is>
          <t>Yes</t>
        </is>
      </c>
      <c r="P723" t="inlineStr">
        <is>
          <t>Soundariya B</t>
        </is>
      </c>
      <c r="Q723" t="inlineStr">
        <is>
          <t>Bad</t>
        </is>
      </c>
    </row>
    <row r="724">
      <c r="A724" t="inlineStr">
        <is>
          <t>aditya.c</t>
        </is>
      </c>
      <c r="B724" t="inlineStr">
        <is>
          <t>Aditya Chakraborty</t>
        </is>
      </c>
      <c r="C724" t="inlineStr">
        <is>
          <t>aditya.c@osmosys.co</t>
        </is>
      </c>
      <c r="D724" t="inlineStr">
        <is>
          <t>incident-reporter</t>
        </is>
      </c>
      <c r="E724">
        <f>HYPERLINK("http://gitlab.osmosys.co/incident-reporter/incident-reporter-app", "OQSHA Mobile App")</f>
        <v/>
      </c>
      <c r="F724">
        <f>HYPERLINK("http://gitlab.osmosys.co/incident-reporter/incident-reporter-app/-/merge_requests/1813", "feat: update logic to render sub checks on ui if parent check is selected")</f>
        <v/>
      </c>
      <c r="G724" t="inlineStr">
        <is>
          <t>feat/add-ptw-subchecks</t>
        </is>
      </c>
      <c r="H724" t="inlineStr">
        <is>
          <t>sprint-18</t>
        </is>
      </c>
      <c r="I724" t="inlineStr">
        <is>
          <t>merged</t>
        </is>
      </c>
      <c r="J724" t="inlineStr">
        <is>
          <t>c250cd88e803d9f21cc859c83d710cb4e4d0721d</t>
        </is>
      </c>
      <c r="K724">
        <f>HYPERLINK("http://gitlab.osmosys.co/incident-reporter/incident-reporter-app/-/merge_requests/1813#note_241674", "Please use base64Str instead of b64")</f>
        <v/>
      </c>
      <c r="L724" t="inlineStr">
        <is>
          <t>2025-07-25 08:27:29.102 IST</t>
        </is>
      </c>
      <c r="M724" t="inlineStr">
        <is>
          <t>Soundariya B</t>
        </is>
      </c>
      <c r="N724" t="inlineStr">
        <is>
          <t>Yes</t>
        </is>
      </c>
      <c r="O724" t="inlineStr">
        <is>
          <t>Yes</t>
        </is>
      </c>
      <c r="P724" t="inlineStr">
        <is>
          <t>Soundariya B</t>
        </is>
      </c>
      <c r="Q724" t="inlineStr">
        <is>
          <t>Bad</t>
        </is>
      </c>
    </row>
    <row r="725">
      <c r="A725" t="inlineStr">
        <is>
          <t>aditya.c</t>
        </is>
      </c>
      <c r="B725" t="inlineStr">
        <is>
          <t>Aditya Chakraborty</t>
        </is>
      </c>
      <c r="C725" t="inlineStr">
        <is>
          <t>aditya.c@osmosys.co</t>
        </is>
      </c>
      <c r="D725" t="inlineStr">
        <is>
          <t>incident-reporter</t>
        </is>
      </c>
      <c r="E725">
        <f>HYPERLINK("http://gitlab.osmosys.co/incident-reporter/incident-reporter-app", "OQSHA Mobile App")</f>
        <v/>
      </c>
      <c r="F725">
        <f>HYPERLINK("http://gitlab.osmosys.co/incident-reporter/incident-reporter-app/-/merge_requests/1813", "feat: update logic to render sub checks on ui if parent check is selected")</f>
        <v/>
      </c>
      <c r="G725" t="inlineStr">
        <is>
          <t>feat/add-ptw-subchecks</t>
        </is>
      </c>
      <c r="H725" t="inlineStr">
        <is>
          <t>sprint-18</t>
        </is>
      </c>
      <c r="I725" t="inlineStr">
        <is>
          <t>merged</t>
        </is>
      </c>
      <c r="J725" t="inlineStr">
        <is>
          <t>37e7c0757bbe7d2a9a209452a684f24c8c1af405</t>
        </is>
      </c>
      <c r="K725">
        <f>HYPERLINK("http://gitlab.osmosys.co/incident-reporter/incident-reporter-app/-/merge_requests/1813#note_241675", "If its parent check then its should be parentChecks instead of checks")</f>
        <v/>
      </c>
      <c r="L725" t="inlineStr">
        <is>
          <t>2025-07-25 08:27:29.190 IST</t>
        </is>
      </c>
      <c r="M725" t="inlineStr">
        <is>
          <t>Soundariya B</t>
        </is>
      </c>
      <c r="N725" t="inlineStr">
        <is>
          <t>Yes</t>
        </is>
      </c>
      <c r="O725" t="inlineStr">
        <is>
          <t>Yes</t>
        </is>
      </c>
      <c r="P725" t="inlineStr">
        <is>
          <t>Soundariya B</t>
        </is>
      </c>
      <c r="Q725" t="inlineStr">
        <is>
          <t>Bad</t>
        </is>
      </c>
    </row>
    <row r="726">
      <c r="A726" t="inlineStr">
        <is>
          <t>aditya.c</t>
        </is>
      </c>
      <c r="B726" t="inlineStr">
        <is>
          <t>Aditya Chakraborty</t>
        </is>
      </c>
      <c r="C726" t="inlineStr">
        <is>
          <t>aditya.c@osmosys.co</t>
        </is>
      </c>
      <c r="D726" t="inlineStr">
        <is>
          <t>incident-reporter</t>
        </is>
      </c>
      <c r="E726">
        <f>HYPERLINK("http://gitlab.osmosys.co/incident-reporter/incident-reporter-app", "OQSHA Mobile App")</f>
        <v/>
      </c>
      <c r="F726">
        <f>HYPERLINK("http://gitlab.osmosys.co/incident-reporter/incident-reporter-app/-/merge_requests/1813", "feat: update logic to render sub checks on ui if parent check is selected")</f>
        <v/>
      </c>
      <c r="G726" t="inlineStr">
        <is>
          <t>feat/add-ptw-subchecks</t>
        </is>
      </c>
      <c r="H726" t="inlineStr">
        <is>
          <t>sprint-18</t>
        </is>
      </c>
      <c r="I726" t="inlineStr">
        <is>
          <t>merged</t>
        </is>
      </c>
      <c r="J726" t="inlineStr">
        <is>
          <t>37e7c0757bbe7d2a9a209452a684f24c8c1af405</t>
        </is>
      </c>
      <c r="K726">
        <f>HYPERLINK("http://gitlab.osmosys.co/incident-reporter/incident-reporter-app/-/merge_requests/1813#note_241818", "![image](/uploads/dc8a313a30ed261588eb851e4f57ae4c/image.png){width=1395 height=737}
No - I cannot make unnecessary changes
checks means all checks, irrespective of parent or child
To distinguish that I have named the variable `parent`")</f>
        <v/>
      </c>
      <c r="L726" t="inlineStr">
        <is>
          <t>2025-07-25 15:02:30.276 IST</t>
        </is>
      </c>
      <c r="M726" t="inlineStr">
        <is>
          <t>Aditya Chakraborty</t>
        </is>
      </c>
      <c r="N726" t="inlineStr">
        <is>
          <t>No</t>
        </is>
      </c>
      <c r="O726" t="inlineStr">
        <is>
          <t>Yes</t>
        </is>
      </c>
      <c r="P726" t="inlineStr">
        <is>
          <t>Soundariya B</t>
        </is>
      </c>
      <c r="Q726" t="inlineStr">
        <is>
          <t>Bad</t>
        </is>
      </c>
    </row>
    <row r="727">
      <c r="A727" t="inlineStr">
        <is>
          <t>aditya.c</t>
        </is>
      </c>
      <c r="B727" t="inlineStr">
        <is>
          <t>Aditya Chakraborty</t>
        </is>
      </c>
      <c r="C727" t="inlineStr">
        <is>
          <t>aditya.c@osmosys.co</t>
        </is>
      </c>
      <c r="D727" t="inlineStr">
        <is>
          <t>incident-reporter</t>
        </is>
      </c>
      <c r="E727">
        <f>HYPERLINK("http://gitlab.osmosys.co/incident-reporter/incident-reporter-app", "OQSHA Mobile App")</f>
        <v/>
      </c>
      <c r="F727">
        <f>HYPERLINK("http://gitlab.osmosys.co/incident-reporter/incident-reporter-app/-/merge_requests/1813", "feat: update logic to render sub checks on ui if parent check is selected")</f>
        <v/>
      </c>
      <c r="G727" t="inlineStr">
        <is>
          <t>feat/add-ptw-subchecks</t>
        </is>
      </c>
      <c r="H727" t="inlineStr">
        <is>
          <t>sprint-18</t>
        </is>
      </c>
      <c r="I727" t="inlineStr">
        <is>
          <t>merged</t>
        </is>
      </c>
      <c r="J727" t="inlineStr">
        <is>
          <t>ebbcfa133d5c0cb6374437d05597cc3df6d77ce9</t>
        </is>
      </c>
      <c r="K727">
        <f>HYPERLINK("http://gitlab.osmosys.co/incident-reporter/incident-reporter-app/-/merge_requests/1813#note_241676", "Same here")</f>
        <v/>
      </c>
      <c r="L727" t="inlineStr">
        <is>
          <t>2025-07-25 08:27:29.243 IST</t>
        </is>
      </c>
      <c r="M727" t="inlineStr">
        <is>
          <t>Soundariya B</t>
        </is>
      </c>
      <c r="N727" t="inlineStr">
        <is>
          <t>Yes</t>
        </is>
      </c>
      <c r="O727" t="inlineStr">
        <is>
          <t>Yes</t>
        </is>
      </c>
      <c r="P727" t="inlineStr">
        <is>
          <t>Soundariya B</t>
        </is>
      </c>
      <c r="Q727" t="inlineStr">
        <is>
          <t>Bad</t>
        </is>
      </c>
    </row>
    <row r="728">
      <c r="A728" t="inlineStr">
        <is>
          <t>aditya.c</t>
        </is>
      </c>
      <c r="B728" t="inlineStr">
        <is>
          <t>Aditya Chakraborty</t>
        </is>
      </c>
      <c r="C728" t="inlineStr">
        <is>
          <t>aditya.c@osmosys.co</t>
        </is>
      </c>
      <c r="D728" t="inlineStr">
        <is>
          <t>incident-reporter</t>
        </is>
      </c>
      <c r="E728">
        <f>HYPERLINK("http://gitlab.osmosys.co/incident-reporter/incident-reporter-app", "OQSHA Mobile App")</f>
        <v/>
      </c>
      <c r="F728">
        <f>HYPERLINK("http://gitlab.osmosys.co/incident-reporter/incident-reporter-app/-/merge_requests/1813", "feat: update logic to render sub checks on ui if parent check is selected")</f>
        <v/>
      </c>
      <c r="G728" t="inlineStr">
        <is>
          <t>feat/add-ptw-subchecks</t>
        </is>
      </c>
      <c r="H728" t="inlineStr">
        <is>
          <t>sprint-18</t>
        </is>
      </c>
      <c r="I728" t="inlineStr">
        <is>
          <t>merged</t>
        </is>
      </c>
      <c r="J728" t="inlineStr">
        <is>
          <t>ce9952b2b46a732e4999dc1c3a59bda9d6351aee</t>
        </is>
      </c>
      <c r="K728">
        <f>HYPERLINK("http://gitlab.osmosys.co/incident-reporter/incident-reporter-app/-/merge_requests/1813#note_241677", "Again inline CSS")</f>
        <v/>
      </c>
      <c r="L728" t="inlineStr">
        <is>
          <t>2025-07-25 08:27:29.301 IST</t>
        </is>
      </c>
      <c r="M728" t="inlineStr">
        <is>
          <t>Soundariya B</t>
        </is>
      </c>
      <c r="N728" t="inlineStr">
        <is>
          <t>Yes</t>
        </is>
      </c>
      <c r="O728" t="inlineStr">
        <is>
          <t>Yes</t>
        </is>
      </c>
      <c r="P728" t="inlineStr">
        <is>
          <t>Soundariya B</t>
        </is>
      </c>
      <c r="Q728" t="inlineStr">
        <is>
          <t>Bad</t>
        </is>
      </c>
    </row>
    <row r="729">
      <c r="A729" t="inlineStr">
        <is>
          <t>aditya.c</t>
        </is>
      </c>
      <c r="B729" t="inlineStr">
        <is>
          <t>Aditya Chakraborty</t>
        </is>
      </c>
      <c r="C729" t="inlineStr">
        <is>
          <t>aditya.c@osmosys.co</t>
        </is>
      </c>
      <c r="D729" t="inlineStr">
        <is>
          <t>incident-reporter</t>
        </is>
      </c>
      <c r="E729">
        <f>HYPERLINK("http://gitlab.osmosys.co/incident-reporter/incident-reporter-app", "OQSHA Mobile App")</f>
        <v/>
      </c>
      <c r="F729">
        <f>HYPERLINK("http://gitlab.osmosys.co/incident-reporter/incident-reporter-app/-/merge_requests/1813", "feat: update logic to render sub checks on ui if parent check is selected")</f>
        <v/>
      </c>
      <c r="G729" t="inlineStr">
        <is>
          <t>feat/add-ptw-subchecks</t>
        </is>
      </c>
      <c r="H729" t="inlineStr">
        <is>
          <t>sprint-18</t>
        </is>
      </c>
      <c r="I729" t="inlineStr">
        <is>
          <t>merged</t>
        </is>
      </c>
      <c r="J729" t="inlineStr">
        <is>
          <t>7011ffecd2246b5d752dc75bf05868d6c8ae26f3</t>
        </is>
      </c>
      <c r="K729">
        <f>HYPERLINK("http://gitlab.osmosys.co/incident-reporter/incident-reporter-app/-/merge_requests/1813#note_241678", "Same here")</f>
        <v/>
      </c>
      <c r="L729" t="inlineStr">
        <is>
          <t>2025-07-25 08:27:29.387 IST</t>
        </is>
      </c>
      <c r="M729" t="inlineStr">
        <is>
          <t>Soundariya B</t>
        </is>
      </c>
      <c r="N729" t="inlineStr">
        <is>
          <t>Yes</t>
        </is>
      </c>
      <c r="O729" t="inlineStr">
        <is>
          <t>Yes</t>
        </is>
      </c>
      <c r="P729" t="inlineStr">
        <is>
          <t>Soundariya B</t>
        </is>
      </c>
      <c r="Q729" t="inlineStr">
        <is>
          <t>Bad</t>
        </is>
      </c>
    </row>
    <row r="730">
      <c r="A730" t="inlineStr">
        <is>
          <t>aditya.c</t>
        </is>
      </c>
      <c r="B730" t="inlineStr">
        <is>
          <t>Aditya Chakraborty</t>
        </is>
      </c>
      <c r="C730" t="inlineStr">
        <is>
          <t>aditya.c@osmosys.co</t>
        </is>
      </c>
      <c r="D730" t="inlineStr">
        <is>
          <t>incident-reporter</t>
        </is>
      </c>
      <c r="E730">
        <f>HYPERLINK("http://gitlab.osmosys.co/incident-reporter/incident-reporter-app", "OQSHA Mobile App")</f>
        <v/>
      </c>
      <c r="F730">
        <f>HYPERLINK("http://gitlab.osmosys.co/incident-reporter/incident-reporter-app/-/merge_requests/1813", "feat: update logic to render sub checks on ui if parent check is selected")</f>
        <v/>
      </c>
      <c r="G730" t="inlineStr">
        <is>
          <t>feat/add-ptw-subchecks</t>
        </is>
      </c>
      <c r="H730" t="inlineStr">
        <is>
          <t>sprint-18</t>
        </is>
      </c>
      <c r="I730" t="inlineStr">
        <is>
          <t>merged</t>
        </is>
      </c>
      <c r="J730" t="inlineStr">
        <is>
          <t>c4af48a05e12a86e5bbc456bec9b6fefb8fd4a47</t>
        </is>
      </c>
      <c r="K730">
        <f>HYPERLINK("http://gitlab.osmosys.co/incident-reporter/incident-reporter-app/-/merge_requests/1813#note_241679", "NOTE: **For the 1 changes seems there are major and huge changes so I suggest you to please check with Raj and Hitesh, also test all cases which are existing and new one both - Because I don't want any breakage while releasing**")</f>
        <v/>
      </c>
      <c r="L730" t="inlineStr">
        <is>
          <t>2025-07-25 08:27:29.431 IST</t>
        </is>
      </c>
      <c r="M730" t="inlineStr">
        <is>
          <t>Soundariya B</t>
        </is>
      </c>
      <c r="N730" t="inlineStr">
        <is>
          <t>Yes</t>
        </is>
      </c>
      <c r="O730" t="inlineStr">
        <is>
          <t>Yes</t>
        </is>
      </c>
      <c r="P730" t="inlineStr">
        <is>
          <t>Raj Kumar</t>
        </is>
      </c>
      <c r="Q730" t="inlineStr">
        <is>
          <t>Bad</t>
        </is>
      </c>
    </row>
    <row r="731">
      <c r="A731" t="inlineStr">
        <is>
          <t>aditya.c</t>
        </is>
      </c>
      <c r="B731" t="inlineStr">
        <is>
          <t>Aditya Chakraborty</t>
        </is>
      </c>
      <c r="C731" t="inlineStr">
        <is>
          <t>aditya.c@osmosys.co</t>
        </is>
      </c>
      <c r="D731" t="inlineStr">
        <is>
          <t>incident-reporter</t>
        </is>
      </c>
      <c r="E731">
        <f>HYPERLINK("http://gitlab.osmosys.co/incident-reporter/incident-reporter-app", "OQSHA Mobile App")</f>
        <v/>
      </c>
      <c r="F731">
        <f>HYPERLINK("http://gitlab.osmosys.co/incident-reporter/incident-reporter-app/-/merge_requests/1813", "feat: update logic to render sub checks on ui if parent check is selected")</f>
        <v/>
      </c>
      <c r="G731" t="inlineStr">
        <is>
          <t>feat/add-ptw-subchecks</t>
        </is>
      </c>
      <c r="H731" t="inlineStr">
        <is>
          <t>sprint-18</t>
        </is>
      </c>
      <c r="I731" t="inlineStr">
        <is>
          <t>merged</t>
        </is>
      </c>
      <c r="J731" t="inlineStr">
        <is>
          <t>c4af48a05e12a86e5bbc456bec9b6fefb8fd4a47</t>
        </is>
      </c>
      <c r="K731">
        <f>HYPERLINK("http://gitlab.osmosys.co/incident-reporter/incident-reporter-app/-/merge_requests/1813#note_241844", "NEED COMMENTS from RAJ and HITESH for SURITY of this CHANGES - Please get the confirmation")</f>
        <v/>
      </c>
      <c r="L731" t="inlineStr">
        <is>
          <t>2025-07-25 15:49:14.246 IST</t>
        </is>
      </c>
      <c r="M731" t="inlineStr">
        <is>
          <t>Soundariya B</t>
        </is>
      </c>
      <c r="N731" t="inlineStr">
        <is>
          <t>Yes</t>
        </is>
      </c>
      <c r="O731" t="inlineStr">
        <is>
          <t>Yes</t>
        </is>
      </c>
      <c r="P731" t="inlineStr">
        <is>
          <t>Raj Kumar</t>
        </is>
      </c>
      <c r="Q731" t="inlineStr">
        <is>
          <t>Bad</t>
        </is>
      </c>
    </row>
    <row r="732">
      <c r="A732" t="inlineStr">
        <is>
          <t>aditya.c</t>
        </is>
      </c>
      <c r="B732" t="inlineStr">
        <is>
          <t>Aditya Chakraborty</t>
        </is>
      </c>
      <c r="C732" t="inlineStr">
        <is>
          <t>aditya.c@osmosys.co</t>
        </is>
      </c>
      <c r="D732" t="inlineStr">
        <is>
          <t>incident-reporter</t>
        </is>
      </c>
      <c r="E732">
        <f>HYPERLINK("http://gitlab.osmosys.co/incident-reporter/incident-reporter-app", "OQSHA Mobile App")</f>
        <v/>
      </c>
      <c r="F732">
        <f>HYPERLINK("http://gitlab.osmosys.co/incident-reporter/incident-reporter-app/-/merge_requests/1813", "feat: update logic to render sub checks on ui if parent check is selected")</f>
        <v/>
      </c>
      <c r="G732" t="inlineStr">
        <is>
          <t>feat/add-ptw-subchecks</t>
        </is>
      </c>
      <c r="H732" t="inlineStr">
        <is>
          <t>sprint-18</t>
        </is>
      </c>
      <c r="I732" t="inlineStr">
        <is>
          <t>merged</t>
        </is>
      </c>
      <c r="J732" t="inlineStr">
        <is>
          <t>47865ae4f02a6f65d21a9a0b27a026fe86f54400</t>
        </is>
      </c>
      <c r="K732">
        <f>HYPERLINK("http://gitlab.osmosys.co/incident-reporter/incident-reporter-app/-/merge_requests/1813#note_241845", "Please take all alt values from lang file because in case image broken up then the text will shows in users selected lang not stick with eng lang as these value for showing on UI so it must be taken from lang files")</f>
        <v/>
      </c>
      <c r="L732" t="inlineStr">
        <is>
          <t>2025-07-25 15:49:30.144 IST</t>
        </is>
      </c>
      <c r="M732" t="inlineStr">
        <is>
          <t>Soundariya B</t>
        </is>
      </c>
      <c r="N732" t="inlineStr">
        <is>
          <t>Yes</t>
        </is>
      </c>
      <c r="O732" t="inlineStr">
        <is>
          <t>Yes</t>
        </is>
      </c>
      <c r="P732" t="inlineStr">
        <is>
          <t>Raj Kumar</t>
        </is>
      </c>
      <c r="Q732" t="inlineStr">
        <is>
          <t>Bad</t>
        </is>
      </c>
    </row>
    <row r="733">
      <c r="A733" t="inlineStr">
        <is>
          <t>aditya.c</t>
        </is>
      </c>
      <c r="B733" t="inlineStr">
        <is>
          <t>Aditya Chakraborty</t>
        </is>
      </c>
      <c r="C733" t="inlineStr">
        <is>
          <t>aditya.c@osmosys.co</t>
        </is>
      </c>
      <c r="D733" t="inlineStr">
        <is>
          <t>incident-reporter</t>
        </is>
      </c>
      <c r="E733">
        <f>HYPERLINK("http://gitlab.osmosys.co/incident-reporter/incident-reporter-app", "OQSHA Mobile App")</f>
        <v/>
      </c>
      <c r="F733">
        <f>HYPERLINK("http://gitlab.osmosys.co/incident-reporter/incident-reporter-app/-/merge_requests/1813", "feat: update logic to render sub checks on ui if parent check is selected")</f>
        <v/>
      </c>
      <c r="G733" t="inlineStr">
        <is>
          <t>feat/add-ptw-subchecks</t>
        </is>
      </c>
      <c r="H733" t="inlineStr">
        <is>
          <t>sprint-18</t>
        </is>
      </c>
      <c r="I733" t="inlineStr">
        <is>
          <t>merged</t>
        </is>
      </c>
      <c r="J733" t="inlineStr">
        <is>
          <t>3d13e6df25bba5f02ef759c5963aa5370cc1422a</t>
        </is>
      </c>
      <c r="K733">
        <f>HYPERLINK("http://gitlab.osmosys.co/incident-reporter/incident-reporter-app/-/merge_requests/1813#note_241846", "Follow the 2nd point of this thread - http://gitlab.osmosys.co/incident-reporter/incident-reporter-app/-/merge_requests/1813#note_241670")</f>
        <v/>
      </c>
      <c r="L733" t="inlineStr">
        <is>
          <t>2025-07-25 15:49:30.259 IST</t>
        </is>
      </c>
      <c r="M733" t="inlineStr">
        <is>
          <t>Soundariya B</t>
        </is>
      </c>
      <c r="N733" t="inlineStr">
        <is>
          <t>Yes</t>
        </is>
      </c>
      <c r="O733" t="inlineStr">
        <is>
          <t>Yes</t>
        </is>
      </c>
      <c r="P733" t="inlineStr">
        <is>
          <t>Raj Kumar</t>
        </is>
      </c>
      <c r="Q733" t="inlineStr">
        <is>
          <t>Bad</t>
        </is>
      </c>
    </row>
    <row r="734">
      <c r="A734" t="inlineStr">
        <is>
          <t>aditya.c</t>
        </is>
      </c>
      <c r="B734" t="inlineStr">
        <is>
          <t>Aditya Chakraborty</t>
        </is>
      </c>
      <c r="C734" t="inlineStr">
        <is>
          <t>aditya.c@osmosys.co</t>
        </is>
      </c>
      <c r="D734" t="inlineStr">
        <is>
          <t>incident-reporter</t>
        </is>
      </c>
      <c r="E734">
        <f>HYPERLINK("http://gitlab.osmosys.co/incident-reporter/incident-reporter-app", "OQSHA Mobile App")</f>
        <v/>
      </c>
      <c r="F734">
        <f>HYPERLINK("http://gitlab.osmosys.co/incident-reporter/incident-reporter-app/-/merge_requests/1813", "feat: update logic to render sub checks on ui if parent check is selected")</f>
        <v/>
      </c>
      <c r="G734" t="inlineStr">
        <is>
          <t>feat/add-ptw-subchecks</t>
        </is>
      </c>
      <c r="H734" t="inlineStr">
        <is>
          <t>sprint-18</t>
        </is>
      </c>
      <c r="I734" t="inlineStr">
        <is>
          <t>merged</t>
        </is>
      </c>
      <c r="J734" t="inlineStr">
        <is>
          <t>571dca2bf24a2352d6ae28c5cae70de9e0a68d0d</t>
        </is>
      </c>
      <c r="K734">
        <f>HYPERLINK("http://gitlab.osmosys.co/incident-reporter/incident-reporter-app/-/merge_requests/1813#note_241847", "Still many place not fixed the last point of this thread please follow and fix it everywhere - http://gitlab.osmosys.co/incident-reporter/incident-reporter-app/-/merge_requests/1813#note_241670")</f>
        <v/>
      </c>
      <c r="L734" t="inlineStr">
        <is>
          <t>2025-07-25 15:49:30.339 IST</t>
        </is>
      </c>
      <c r="M734" t="inlineStr">
        <is>
          <t>Soundariya B</t>
        </is>
      </c>
      <c r="N734" t="inlineStr">
        <is>
          <t>Yes</t>
        </is>
      </c>
      <c r="O734" t="inlineStr">
        <is>
          <t>Yes</t>
        </is>
      </c>
      <c r="P734" t="inlineStr">
        <is>
          <t>Raj Kumar</t>
        </is>
      </c>
      <c r="Q734" t="inlineStr">
        <is>
          <t>Bad</t>
        </is>
      </c>
    </row>
    <row r="735">
      <c r="A735" t="inlineStr">
        <is>
          <t>aditya.c</t>
        </is>
      </c>
      <c r="B735" t="inlineStr">
        <is>
          <t>Aditya Chakraborty</t>
        </is>
      </c>
      <c r="C735" t="inlineStr">
        <is>
          <t>aditya.c@osmosys.co</t>
        </is>
      </c>
      <c r="D735" t="inlineStr">
        <is>
          <t>incident-reporter</t>
        </is>
      </c>
      <c r="E735">
        <f>HYPERLINK("http://gitlab.osmosys.co/incident-reporter/incident-reporter-app", "OQSHA Mobile App")</f>
        <v/>
      </c>
      <c r="F735">
        <f>HYPERLINK("http://gitlab.osmosys.co/incident-reporter/incident-reporter-app/-/merge_requests/1813", "feat: update logic to render sub checks on ui if parent check is selected")</f>
        <v/>
      </c>
      <c r="G735" t="inlineStr">
        <is>
          <t>feat/add-ptw-subchecks</t>
        </is>
      </c>
      <c r="H735" t="inlineStr">
        <is>
          <t>sprint-18</t>
        </is>
      </c>
      <c r="I735" t="inlineStr">
        <is>
          <t>merged</t>
        </is>
      </c>
      <c r="J735" t="inlineStr">
        <is>
          <t>57a2d76d6bc4b31b42b4fd3b6e0f60506d3bc5f5</t>
        </is>
      </c>
      <c r="K735">
        <f>HYPERLINK("http://gitlab.osmosys.co/incident-reporter/incident-reporter-app/-/merge_requests/1813#note_241848", "Check type already we have in constant file so please take from there")</f>
        <v/>
      </c>
      <c r="L735" t="inlineStr">
        <is>
          <t>2025-07-25 15:49:30.453 IST</t>
        </is>
      </c>
      <c r="M735" t="inlineStr">
        <is>
          <t>Soundariya B</t>
        </is>
      </c>
      <c r="N735" t="inlineStr">
        <is>
          <t>Yes</t>
        </is>
      </c>
      <c r="O735" t="inlineStr">
        <is>
          <t>Yes</t>
        </is>
      </c>
      <c r="P735" t="inlineStr">
        <is>
          <t>Raj Kumar</t>
        </is>
      </c>
      <c r="Q735" t="inlineStr">
        <is>
          <t>Bad</t>
        </is>
      </c>
    </row>
    <row r="736">
      <c r="A736" t="inlineStr">
        <is>
          <t>aditya.c</t>
        </is>
      </c>
      <c r="B736" t="inlineStr">
        <is>
          <t>Aditya Chakraborty</t>
        </is>
      </c>
      <c r="C736" t="inlineStr">
        <is>
          <t>aditya.c@osmosys.co</t>
        </is>
      </c>
      <c r="D736" t="inlineStr">
        <is>
          <t>incident-reporter</t>
        </is>
      </c>
      <c r="E736">
        <f>HYPERLINK("http://gitlab.osmosys.co/incident-reporter/incident-reporter-app", "OQSHA Mobile App")</f>
        <v/>
      </c>
      <c r="F736">
        <f>HYPERLINK("http://gitlab.osmosys.co/incident-reporter/incident-reporter-app/-/merge_requests/1784", "fix: resolve conflicts on incidents module")</f>
        <v/>
      </c>
      <c r="G736" t="inlineStr">
        <is>
          <t>fix/resolve-conflicts-incidents</t>
        </is>
      </c>
      <c r="H736" t="inlineStr">
        <is>
          <t>sprint-17</t>
        </is>
      </c>
      <c r="I736" t="inlineStr">
        <is>
          <t>merged</t>
        </is>
      </c>
      <c r="J736" t="inlineStr"/>
      <c r="K736" t="inlineStr"/>
      <c r="L736" t="inlineStr"/>
      <c r="M736" t="inlineStr"/>
      <c r="N736" t="inlineStr"/>
      <c r="O736" t="inlineStr"/>
      <c r="P736" t="inlineStr"/>
      <c r="Q736" t="inlineStr"/>
    </row>
    <row r="737">
      <c r="A737" t="inlineStr">
        <is>
          <t>aditya.c</t>
        </is>
      </c>
      <c r="B737" t="inlineStr">
        <is>
          <t>Aditya Chakraborty</t>
        </is>
      </c>
      <c r="C737" t="inlineStr">
        <is>
          <t>aditya.c@osmosys.co</t>
        </is>
      </c>
      <c r="D737" t="inlineStr">
        <is>
          <t>incident-reporter</t>
        </is>
      </c>
      <c r="E737">
        <f>HYPERLINK("http://gitlab.osmosys.co/incident-reporter/incident-reporter-app", "OQSHA Mobile App")</f>
        <v/>
      </c>
      <c r="F737">
        <f>HYPERLINK("http://gitlab.osmosys.co/incident-reporter/incident-reporter-app/-/merge_requests/1780", "fix: send live, pending, ts in payload on initial load")</f>
        <v/>
      </c>
      <c r="G737" t="inlineStr">
        <is>
          <t>fix/ptw-filter-preselect</t>
        </is>
      </c>
      <c r="H737" t="inlineStr">
        <is>
          <t>sprint-16</t>
        </is>
      </c>
      <c r="I737" t="inlineStr">
        <is>
          <t>merged</t>
        </is>
      </c>
      <c r="J737" t="inlineStr"/>
      <c r="K737" t="inlineStr"/>
      <c r="L737" t="inlineStr"/>
      <c r="M737" t="inlineStr"/>
      <c r="N737" t="inlineStr"/>
      <c r="O737" t="inlineStr"/>
      <c r="P737" t="inlineStr"/>
      <c r="Q737" t="inlineStr"/>
    </row>
    <row r="738">
      <c r="A738" t="inlineStr">
        <is>
          <t>aditya.c</t>
        </is>
      </c>
      <c r="B738" t="inlineStr">
        <is>
          <t>Aditya Chakraborty</t>
        </is>
      </c>
      <c r="C738" t="inlineStr">
        <is>
          <t>aditya.c@osmosys.co</t>
        </is>
      </c>
      <c r="D738" t="inlineStr">
        <is>
          <t>incident-reporter</t>
        </is>
      </c>
      <c r="E738">
        <f>HYPERLINK("http://gitlab.osmosys.co/incident-reporter/incident-reporter-app", "OQSHA Mobile App")</f>
        <v/>
      </c>
      <c r="F738">
        <f>HYPERLINK("http://gitlab.osmosys.co/incident-reporter/incident-reporter-app/-/merge_requests/1768", "feat: preselect live, pending and temporarily suspended by default (sprint-16)")</f>
        <v/>
      </c>
      <c r="G738" t="inlineStr">
        <is>
          <t>fix/ptw-status-preselection</t>
        </is>
      </c>
      <c r="H738" t="inlineStr">
        <is>
          <t>sprint-16</t>
        </is>
      </c>
      <c r="I738" t="inlineStr">
        <is>
          <t>merged</t>
        </is>
      </c>
      <c r="J738" t="inlineStr"/>
      <c r="K738" t="inlineStr"/>
      <c r="L738" t="inlineStr"/>
      <c r="M738" t="inlineStr"/>
      <c r="N738" t="inlineStr"/>
      <c r="O738" t="inlineStr"/>
      <c r="P738" t="inlineStr"/>
      <c r="Q738" t="inlineStr"/>
    </row>
    <row r="739">
      <c r="A739" t="inlineStr">
        <is>
          <t>aditya.c</t>
        </is>
      </c>
      <c r="B739" t="inlineStr">
        <is>
          <t>Aditya Chakraborty</t>
        </is>
      </c>
      <c r="C739" t="inlineStr">
        <is>
          <t>aditya.c@osmosys.co</t>
        </is>
      </c>
      <c r="D739" t="inlineStr">
        <is>
          <t>incident-reporter</t>
        </is>
      </c>
      <c r="E739">
        <f>HYPERLINK("http://gitlab.osmosys.co/incident-reporter/incident-reporter-app", "OQSHA Mobile App")</f>
        <v/>
      </c>
      <c r="F739">
        <f>HYPERLINK("http://gitlab.osmosys.co/incident-reporter/incident-reporter-app/-/merge_requests/1766", "feat: preselect temporarily suspended, live and pending statuses in ptw filters")</f>
        <v/>
      </c>
      <c r="G739" t="inlineStr">
        <is>
          <t>feat/ptw-filter-preselect</t>
        </is>
      </c>
      <c r="H739" t="inlineStr">
        <is>
          <t>sprint-17</t>
        </is>
      </c>
      <c r="I739" t="inlineStr">
        <is>
          <t>merged</t>
        </is>
      </c>
      <c r="J739" t="inlineStr"/>
      <c r="K739" t="inlineStr"/>
      <c r="L739" t="inlineStr"/>
      <c r="M739" t="inlineStr"/>
      <c r="N739" t="inlineStr"/>
      <c r="O739" t="inlineStr"/>
      <c r="P739" t="inlineStr"/>
      <c r="Q739" t="inlineStr"/>
    </row>
    <row r="740">
      <c r="A740" t="inlineStr">
        <is>
          <t>aditya.c</t>
        </is>
      </c>
      <c r="B740" t="inlineStr">
        <is>
          <t>Aditya Chakraborty</t>
        </is>
      </c>
      <c r="C740" t="inlineStr">
        <is>
          <t>aditya.c@osmosys.co</t>
        </is>
      </c>
      <c r="D740" t="inlineStr">
        <is>
          <t>incident-reporter</t>
        </is>
      </c>
      <c r="E740">
        <f>HYPERLINK("http://gitlab.osmosys.co/incident-reporter/incident-reporter-app", "OQSHA Mobile App")</f>
        <v/>
      </c>
      <c r="F740">
        <f>HYPERLINK("http://gitlab.osmosys.co/incident-reporter/incident-reporter-app/-/merge_requests/1732", "fix: update disabling logic used in the edit moc")</f>
        <v/>
      </c>
      <c r="G740" t="inlineStr">
        <is>
          <t>fix/moc-disable-crash</t>
        </is>
      </c>
      <c r="H740" t="inlineStr">
        <is>
          <t>sprint-17</t>
        </is>
      </c>
      <c r="I740" t="inlineStr">
        <is>
          <t>merged</t>
        </is>
      </c>
      <c r="J740" t="inlineStr"/>
      <c r="K740" t="inlineStr"/>
      <c r="L740" t="inlineStr"/>
      <c r="M740" t="inlineStr"/>
      <c r="N740" t="inlineStr"/>
      <c r="O740" t="inlineStr"/>
      <c r="P740" t="inlineStr"/>
      <c r="Q740" t="inlineStr"/>
    </row>
    <row r="741">
      <c r="A741" t="inlineStr">
        <is>
          <t>aditya.c</t>
        </is>
      </c>
      <c r="B741" t="inlineStr">
        <is>
          <t>Aditya Chakraborty</t>
        </is>
      </c>
      <c r="C741" t="inlineStr">
        <is>
          <t>aditya.c@osmosys.co</t>
        </is>
      </c>
      <c r="D741" t="inlineStr">
        <is>
          <t>incident-reporter</t>
        </is>
      </c>
      <c r="E741">
        <f>HYPERLINK("http://gitlab.osmosys.co/incident-reporter/incident-reporter-app", "OQSHA Mobile App")</f>
        <v/>
      </c>
      <c r="F741">
        <f>HYPERLINK("http://gitlab.osmosys.co/incident-reporter/incident-reporter-app/-/merge_requests/1729", "fix: update labels in add-edit task component")</f>
        <v/>
      </c>
      <c r="G741" t="inlineStr">
        <is>
          <t>fix/tasks-labels</t>
        </is>
      </c>
      <c r="H741" t="inlineStr">
        <is>
          <t>sprint-16</t>
        </is>
      </c>
      <c r="I741" t="inlineStr">
        <is>
          <t>merged</t>
        </is>
      </c>
      <c r="J741" t="inlineStr"/>
      <c r="K741" t="inlineStr"/>
      <c r="L741" t="inlineStr"/>
      <c r="M741" t="inlineStr"/>
      <c r="N741" t="inlineStr"/>
      <c r="O741" t="inlineStr"/>
      <c r="P741" t="inlineStr"/>
      <c r="Q741" t="inlineStr"/>
    </row>
    <row r="742">
      <c r="A742" t="inlineStr">
        <is>
          <t>palak.g</t>
        </is>
      </c>
      <c r="B742" t="inlineStr">
        <is>
          <t>Palak Gupta</t>
        </is>
      </c>
      <c r="C742" t="inlineStr">
        <is>
          <t>palak.g@osmosys.co</t>
        </is>
      </c>
      <c r="D742" t="inlineStr">
        <is>
          <t>talking-buddy</t>
        </is>
      </c>
      <c r="E742">
        <f>HYPERLINK("http://gitlab.osmosys.co/talking-buddy/app", "app")</f>
        <v/>
      </c>
      <c r="F742">
        <f>HYPERLINK("http://gitlab.osmosys.co/talking-buddy/app/-/merge_requests/381", "fix: Fix the rating for talking buddy")</f>
        <v/>
      </c>
      <c r="G742" t="inlineStr">
        <is>
          <t>update-talking-buddy-list-screen</t>
        </is>
      </c>
      <c r="H742" t="inlineStr">
        <is>
          <t>dev</t>
        </is>
      </c>
      <c r="I742" t="inlineStr">
        <is>
          <t>merged</t>
        </is>
      </c>
      <c r="J742" t="inlineStr"/>
      <c r="K742" t="inlineStr"/>
      <c r="L742" t="inlineStr"/>
      <c r="M742" t="inlineStr"/>
      <c r="N742" t="inlineStr"/>
      <c r="O742" t="inlineStr"/>
      <c r="P742" t="inlineStr"/>
      <c r="Q742" t="inlineStr"/>
    </row>
    <row r="743">
      <c r="A743" t="inlineStr">
        <is>
          <t>palak.g</t>
        </is>
      </c>
      <c r="B743" t="inlineStr">
        <is>
          <t>Palak Gupta</t>
        </is>
      </c>
      <c r="C743" t="inlineStr">
        <is>
          <t>palak.g@osmosys.co</t>
        </is>
      </c>
      <c r="D743" t="inlineStr">
        <is>
          <t>talking-buddy</t>
        </is>
      </c>
      <c r="E743">
        <f>HYPERLINK("http://gitlab.osmosys.co/talking-buddy/app", "app")</f>
        <v/>
      </c>
      <c r="F743">
        <f>HYPERLINK("http://gitlab.osmosys.co/talking-buddy/app/-/merge_requests/378", "update: Update talking buddy list screen")</f>
        <v/>
      </c>
      <c r="G743" t="inlineStr">
        <is>
          <t>update-talking-buddy-list-screen</t>
        </is>
      </c>
      <c r="H743" t="inlineStr">
        <is>
          <t>dev</t>
        </is>
      </c>
      <c r="I743" t="inlineStr">
        <is>
          <t>merged</t>
        </is>
      </c>
      <c r="J743" t="inlineStr">
        <is>
          <t>2820364a0ee233267c0f765856721722af04b46e</t>
        </is>
      </c>
      <c r="K743">
        <f>HYPERLINK("http://gitlab.osmosys.co/talking-buddy/app/-/merge_requests/378#note_243813", "Remove leading space from the text")</f>
        <v/>
      </c>
      <c r="L743" t="inlineStr">
        <is>
          <t>2025-07-29 15:57:55.667 IST</t>
        </is>
      </c>
      <c r="M743" t="inlineStr">
        <is>
          <t>Anand Prakash</t>
        </is>
      </c>
      <c r="N743" t="inlineStr">
        <is>
          <t>Yes</t>
        </is>
      </c>
      <c r="O743" t="inlineStr">
        <is>
          <t>Yes</t>
        </is>
      </c>
      <c r="P743" t="inlineStr">
        <is>
          <t>Palak Gupta</t>
        </is>
      </c>
      <c r="Q743" t="inlineStr">
        <is>
          <t>Bad</t>
        </is>
      </c>
    </row>
    <row r="744">
      <c r="A744" t="inlineStr">
        <is>
          <t>palak.g</t>
        </is>
      </c>
      <c r="B744" t="inlineStr">
        <is>
          <t>Palak Gupta</t>
        </is>
      </c>
      <c r="C744" t="inlineStr">
        <is>
          <t>palak.g@osmosys.co</t>
        </is>
      </c>
      <c r="D744" t="inlineStr">
        <is>
          <t>talking-buddy</t>
        </is>
      </c>
      <c r="E744">
        <f>HYPERLINK("http://gitlab.osmosys.co/talking-buddy/app", "app")</f>
        <v/>
      </c>
      <c r="F744">
        <f>HYPERLINK("http://gitlab.osmosys.co/talking-buddy/app/-/merge_requests/378", "update: Update talking buddy list screen")</f>
        <v/>
      </c>
      <c r="G744" t="inlineStr">
        <is>
          <t>update-talking-buddy-list-screen</t>
        </is>
      </c>
      <c r="H744" t="inlineStr">
        <is>
          <t>dev</t>
        </is>
      </c>
      <c r="I744" t="inlineStr">
        <is>
          <t>merged</t>
        </is>
      </c>
      <c r="J744" t="inlineStr">
        <is>
          <t>2820364a0ee233267c0f765856721722af04b46e</t>
        </is>
      </c>
      <c r="K744">
        <f>HYPERLINK("http://gitlab.osmosys.co/talking-buddy/app/-/merge_requests/378#note_243853", "Done")</f>
        <v/>
      </c>
      <c r="L744" t="inlineStr">
        <is>
          <t>2025-07-29 16:16:16.144 IST</t>
        </is>
      </c>
      <c r="M744" t="inlineStr">
        <is>
          <t>Palak Gupta</t>
        </is>
      </c>
      <c r="N744" t="inlineStr">
        <is>
          <t>No</t>
        </is>
      </c>
      <c r="O744" t="inlineStr">
        <is>
          <t>Yes</t>
        </is>
      </c>
      <c r="P744" t="inlineStr">
        <is>
          <t>Palak Gupta</t>
        </is>
      </c>
      <c r="Q744" t="inlineStr">
        <is>
          <t>Bad</t>
        </is>
      </c>
    </row>
    <row r="745">
      <c r="A745" t="inlineStr">
        <is>
          <t>palak.g</t>
        </is>
      </c>
      <c r="B745" t="inlineStr">
        <is>
          <t>Palak Gupta</t>
        </is>
      </c>
      <c r="C745" t="inlineStr">
        <is>
          <t>palak.g@osmosys.co</t>
        </is>
      </c>
      <c r="D745" t="inlineStr">
        <is>
          <t>talking-buddy</t>
        </is>
      </c>
      <c r="E745">
        <f>HYPERLINK("http://gitlab.osmosys.co/talking-buddy/app", "app")</f>
        <v/>
      </c>
      <c r="F745">
        <f>HYPERLINK("http://gitlab.osmosys.co/talking-buddy/app/-/merge_requests/378", "update: Update talking buddy list screen")</f>
        <v/>
      </c>
      <c r="G745" t="inlineStr">
        <is>
          <t>update-talking-buddy-list-screen</t>
        </is>
      </c>
      <c r="H745" t="inlineStr">
        <is>
          <t>dev</t>
        </is>
      </c>
      <c r="I745" t="inlineStr">
        <is>
          <t>merged</t>
        </is>
      </c>
      <c r="J745" t="inlineStr">
        <is>
          <t>9673a20930c85e6c634b8dabae11c045c916b923</t>
        </is>
      </c>
      <c r="K745">
        <f>HYPERLINK("http://gitlab.osmosys.co/talking-buddy/app/-/merge_requests/378#note_243814", "Remove leading space from the text")</f>
        <v/>
      </c>
      <c r="L745" t="inlineStr">
        <is>
          <t>2025-07-29 15:57:55.738 IST</t>
        </is>
      </c>
      <c r="M745" t="inlineStr">
        <is>
          <t>Anand Prakash</t>
        </is>
      </c>
      <c r="N745" t="inlineStr">
        <is>
          <t>Yes</t>
        </is>
      </c>
      <c r="O745" t="inlineStr">
        <is>
          <t>Yes</t>
        </is>
      </c>
      <c r="P745" t="inlineStr">
        <is>
          <t>Palak Gupta</t>
        </is>
      </c>
      <c r="Q745" t="inlineStr">
        <is>
          <t>Bad</t>
        </is>
      </c>
    </row>
    <row r="746">
      <c r="A746" t="inlineStr">
        <is>
          <t>palak.g</t>
        </is>
      </c>
      <c r="B746" t="inlineStr">
        <is>
          <t>Palak Gupta</t>
        </is>
      </c>
      <c r="C746" t="inlineStr">
        <is>
          <t>palak.g@osmosys.co</t>
        </is>
      </c>
      <c r="D746" t="inlineStr">
        <is>
          <t>talking-buddy</t>
        </is>
      </c>
      <c r="E746">
        <f>HYPERLINK("http://gitlab.osmosys.co/talking-buddy/app", "app")</f>
        <v/>
      </c>
      <c r="F746">
        <f>HYPERLINK("http://gitlab.osmosys.co/talking-buddy/app/-/merge_requests/378", "update: Update talking buddy list screen")</f>
        <v/>
      </c>
      <c r="G746" t="inlineStr">
        <is>
          <t>update-talking-buddy-list-screen</t>
        </is>
      </c>
      <c r="H746" t="inlineStr">
        <is>
          <t>dev</t>
        </is>
      </c>
      <c r="I746" t="inlineStr">
        <is>
          <t>merged</t>
        </is>
      </c>
      <c r="J746" t="inlineStr">
        <is>
          <t>9673a20930c85e6c634b8dabae11c045c916b923</t>
        </is>
      </c>
      <c r="K746">
        <f>HYPERLINK("http://gitlab.osmosys.co/talking-buddy/app/-/merge_requests/378#note_243854", "Done")</f>
        <v/>
      </c>
      <c r="L746" t="inlineStr">
        <is>
          <t>2025-07-29 16:16:24.267 IST</t>
        </is>
      </c>
      <c r="M746" t="inlineStr">
        <is>
          <t>Palak Gupta</t>
        </is>
      </c>
      <c r="N746" t="inlineStr">
        <is>
          <t>No</t>
        </is>
      </c>
      <c r="O746" t="inlineStr">
        <is>
          <t>Yes</t>
        </is>
      </c>
      <c r="P746" t="inlineStr">
        <is>
          <t>Palak Gupta</t>
        </is>
      </c>
      <c r="Q746" t="inlineStr">
        <is>
          <t>Bad</t>
        </is>
      </c>
    </row>
    <row r="747">
      <c r="A747" t="inlineStr">
        <is>
          <t>palak.g</t>
        </is>
      </c>
      <c r="B747" t="inlineStr">
        <is>
          <t>Palak Gupta</t>
        </is>
      </c>
      <c r="C747" t="inlineStr">
        <is>
          <t>palak.g@osmosys.co</t>
        </is>
      </c>
      <c r="D747" t="inlineStr">
        <is>
          <t>talking-buddy</t>
        </is>
      </c>
      <c r="E747">
        <f>HYPERLINK("http://gitlab.osmosys.co/talking-buddy/app", "app")</f>
        <v/>
      </c>
      <c r="F747">
        <f>HYPERLINK("http://gitlab.osmosys.co/talking-buddy/app/-/merge_requests/378", "update: Update talking buddy list screen")</f>
        <v/>
      </c>
      <c r="G747" t="inlineStr">
        <is>
          <t>update-talking-buddy-list-screen</t>
        </is>
      </c>
      <c r="H747" t="inlineStr">
        <is>
          <t>dev</t>
        </is>
      </c>
      <c r="I747" t="inlineStr">
        <is>
          <t>merged</t>
        </is>
      </c>
      <c r="J747" t="inlineStr">
        <is>
          <t>44c56725572343bb64d8bb20e23b50dcb24e47ec</t>
        </is>
      </c>
      <c r="K747">
        <f>HYPERLINK("http://gitlab.osmosys.co/talking-buddy/app/-/merge_requests/378#note_243815", "This file has lot of changes without any specific commit about the changes why?&lt;br&gt;
It makes it difficult and consumes time to review all the changes.&lt;br&gt;
As already suggested, this is not good practice.&lt;br&gt;
Kindly avoid.")</f>
        <v/>
      </c>
      <c r="L747" t="inlineStr">
        <is>
          <t>2025-07-29 15:57:55.820 IST</t>
        </is>
      </c>
      <c r="M747" t="inlineStr">
        <is>
          <t>Anand Prakash</t>
        </is>
      </c>
      <c r="N747" t="inlineStr">
        <is>
          <t>Yes</t>
        </is>
      </c>
      <c r="O747" t="inlineStr">
        <is>
          <t>Yes</t>
        </is>
      </c>
      <c r="P747" t="inlineStr">
        <is>
          <t>Anand Prakash</t>
        </is>
      </c>
      <c r="Q747" t="inlineStr">
        <is>
          <t>Bad</t>
        </is>
      </c>
    </row>
    <row r="748">
      <c r="A748" t="inlineStr">
        <is>
          <t>palak.g</t>
        </is>
      </c>
      <c r="B748" t="inlineStr">
        <is>
          <t>Palak Gupta</t>
        </is>
      </c>
      <c r="C748" t="inlineStr">
        <is>
          <t>palak.g@osmosys.co</t>
        </is>
      </c>
      <c r="D748" t="inlineStr">
        <is>
          <t>talking-buddy</t>
        </is>
      </c>
      <c r="E748">
        <f>HYPERLINK("http://gitlab.osmosys.co/talking-buddy/app", "app")</f>
        <v/>
      </c>
      <c r="F748">
        <f>HYPERLINK("http://gitlab.osmosys.co/talking-buddy/app/-/merge_requests/378", "update: Update talking buddy list screen")</f>
        <v/>
      </c>
      <c r="G748" t="inlineStr">
        <is>
          <t>update-talking-buddy-list-screen</t>
        </is>
      </c>
      <c r="H748" t="inlineStr">
        <is>
          <t>dev</t>
        </is>
      </c>
      <c r="I748" t="inlineStr">
        <is>
          <t>merged</t>
        </is>
      </c>
      <c r="J748" t="inlineStr">
        <is>
          <t>44c56725572343bb64d8bb20e23b50dcb24e47ec</t>
        </is>
      </c>
      <c r="K748">
        <f>HYPERLINK("http://gitlab.osmosys.co/talking-buddy/app/-/merge_requests/378#note_243846", "Its because the whole widget tree was changed instead of changing some parts. So I cant make separate commits for that. @anand.p")</f>
        <v/>
      </c>
      <c r="L748" t="inlineStr">
        <is>
          <t>2025-07-29 16:07:50.264 IST</t>
        </is>
      </c>
      <c r="M748" t="inlineStr">
        <is>
          <t>Palak Gupta</t>
        </is>
      </c>
      <c r="N748" t="inlineStr">
        <is>
          <t>No</t>
        </is>
      </c>
      <c r="O748" t="inlineStr">
        <is>
          <t>Yes</t>
        </is>
      </c>
      <c r="P748" t="inlineStr">
        <is>
          <t>Anand Prakash</t>
        </is>
      </c>
      <c r="Q748" t="inlineStr">
        <is>
          <t>Bad</t>
        </is>
      </c>
    </row>
    <row r="749">
      <c r="A749" t="inlineStr">
        <is>
          <t>palak.g</t>
        </is>
      </c>
      <c r="B749" t="inlineStr">
        <is>
          <t>Palak Gupta</t>
        </is>
      </c>
      <c r="C749" t="inlineStr">
        <is>
          <t>palak.g@osmosys.co</t>
        </is>
      </c>
      <c r="D749" t="inlineStr">
        <is>
          <t>talking-buddy</t>
        </is>
      </c>
      <c r="E749">
        <f>HYPERLINK("http://gitlab.osmosys.co/talking-buddy/app", "app")</f>
        <v/>
      </c>
      <c r="F749">
        <f>HYPERLINK("http://gitlab.osmosys.co/talking-buddy/app/-/merge_requests/378", "update: Update talking buddy list screen")</f>
        <v/>
      </c>
      <c r="G749" t="inlineStr">
        <is>
          <t>update-talking-buddy-list-screen</t>
        </is>
      </c>
      <c r="H749" t="inlineStr">
        <is>
          <t>dev</t>
        </is>
      </c>
      <c r="I749" t="inlineStr">
        <is>
          <t>merged</t>
        </is>
      </c>
      <c r="J749" t="inlineStr">
        <is>
          <t>44c56725572343bb64d8bb20e23b50dcb24e47ec</t>
        </is>
      </c>
      <c r="K749">
        <f>HYPERLINK("http://gitlab.osmosys.co/talking-buddy/app/-/merge_requests/378#note_243861", "Add documentation on top of the file as a comment little brief about the new widget tree")</f>
        <v/>
      </c>
      <c r="L749" t="inlineStr">
        <is>
          <t>2025-07-29 16:27:50.360 IST</t>
        </is>
      </c>
      <c r="M749" t="inlineStr">
        <is>
          <t>Anand Prakash</t>
        </is>
      </c>
      <c r="N749" t="inlineStr">
        <is>
          <t>Yes</t>
        </is>
      </c>
      <c r="O749" t="inlineStr">
        <is>
          <t>Yes</t>
        </is>
      </c>
      <c r="P749" t="inlineStr">
        <is>
          <t>Anand Prakash</t>
        </is>
      </c>
      <c r="Q749" t="inlineStr">
        <is>
          <t>Bad</t>
        </is>
      </c>
    </row>
    <row r="750">
      <c r="A750" t="inlineStr">
        <is>
          <t>palak.g</t>
        </is>
      </c>
      <c r="B750" t="inlineStr">
        <is>
          <t>Palak Gupta</t>
        </is>
      </c>
      <c r="C750" t="inlineStr">
        <is>
          <t>palak.g@osmosys.co</t>
        </is>
      </c>
      <c r="D750" t="inlineStr">
        <is>
          <t>talking-buddy</t>
        </is>
      </c>
      <c r="E750">
        <f>HYPERLINK("http://gitlab.osmosys.co/talking-buddy/app", "app")</f>
        <v/>
      </c>
      <c r="F750">
        <f>HYPERLINK("http://gitlab.osmosys.co/talking-buddy/app/-/merge_requests/378", "update: Update talking buddy list screen")</f>
        <v/>
      </c>
      <c r="G750" t="inlineStr">
        <is>
          <t>update-talking-buddy-list-screen</t>
        </is>
      </c>
      <c r="H750" t="inlineStr">
        <is>
          <t>dev</t>
        </is>
      </c>
      <c r="I750" t="inlineStr">
        <is>
          <t>merged</t>
        </is>
      </c>
      <c r="J750" t="inlineStr">
        <is>
          <t>44c56725572343bb64d8bb20e23b50dcb24e47ec</t>
        </is>
      </c>
      <c r="K750">
        <f>HYPERLINK("http://gitlab.osmosys.co/talking-buddy/app/-/merge_requests/378#note_243894", "I have added comments before every section. Can you please check now? @anand.p")</f>
        <v/>
      </c>
      <c r="L750" t="inlineStr">
        <is>
          <t>2025-07-29 17:03:46.978 IST</t>
        </is>
      </c>
      <c r="M750" t="inlineStr">
        <is>
          <t>Palak Gupta</t>
        </is>
      </c>
      <c r="N750" t="inlineStr">
        <is>
          <t>No</t>
        </is>
      </c>
      <c r="O750" t="inlineStr">
        <is>
          <t>Yes</t>
        </is>
      </c>
      <c r="P750" t="inlineStr">
        <is>
          <t>Anand Prakash</t>
        </is>
      </c>
      <c r="Q750" t="inlineStr">
        <is>
          <t>Bad</t>
        </is>
      </c>
    </row>
    <row r="751">
      <c r="A751" t="inlineStr">
        <is>
          <t>palak.g</t>
        </is>
      </c>
      <c r="B751" t="inlineStr">
        <is>
          <t>Palak Gupta</t>
        </is>
      </c>
      <c r="C751" t="inlineStr">
        <is>
          <t>palak.g@osmosys.co</t>
        </is>
      </c>
      <c r="D751" t="inlineStr">
        <is>
          <t>talking-buddy</t>
        </is>
      </c>
      <c r="E751">
        <f>HYPERLINK("http://gitlab.osmosys.co/talking-buddy/app", "app")</f>
        <v/>
      </c>
      <c r="F751">
        <f>HYPERLINK("http://gitlab.osmosys.co/talking-buddy/app/-/merge_requests/378", "update: Update talking buddy list screen")</f>
        <v/>
      </c>
      <c r="G751" t="inlineStr">
        <is>
          <t>update-talking-buddy-list-screen</t>
        </is>
      </c>
      <c r="H751" t="inlineStr">
        <is>
          <t>dev</t>
        </is>
      </c>
      <c r="I751" t="inlineStr">
        <is>
          <t>merged</t>
        </is>
      </c>
      <c r="J751" t="inlineStr">
        <is>
          <t>44c56725572343bb64d8bb20e23b50dcb24e47ec</t>
        </is>
      </c>
      <c r="K751">
        <f>HYPERLINK("http://gitlab.osmosys.co/talking-buddy/app/-/merge_requests/378#note_243899", "ok")</f>
        <v/>
      </c>
      <c r="L751" t="inlineStr">
        <is>
          <t>2025-07-29 17:32:44.617 IST</t>
        </is>
      </c>
      <c r="M751" t="inlineStr">
        <is>
          <t>Anand Prakash</t>
        </is>
      </c>
      <c r="N751" t="inlineStr">
        <is>
          <t>Yes</t>
        </is>
      </c>
      <c r="O751" t="inlineStr">
        <is>
          <t>Yes</t>
        </is>
      </c>
      <c r="P751" t="inlineStr">
        <is>
          <t>Anand Prakash</t>
        </is>
      </c>
      <c r="Q751" t="inlineStr">
        <is>
          <t>Bad</t>
        </is>
      </c>
    </row>
    <row r="752">
      <c r="A752" t="inlineStr">
        <is>
          <t>palak.g</t>
        </is>
      </c>
      <c r="B752" t="inlineStr">
        <is>
          <t>Palak Gupta</t>
        </is>
      </c>
      <c r="C752" t="inlineStr">
        <is>
          <t>palak.g@osmosys.co</t>
        </is>
      </c>
      <c r="D752" t="inlineStr">
        <is>
          <t>talking-buddy</t>
        </is>
      </c>
      <c r="E752">
        <f>HYPERLINK("http://gitlab.osmosys.co/talking-buddy/app", "app")</f>
        <v/>
      </c>
      <c r="F752">
        <f>HYPERLINK("http://gitlab.osmosys.co/talking-buddy/app/-/merge_requests/378", "update: Update talking buddy list screen")</f>
        <v/>
      </c>
      <c r="G752" t="inlineStr">
        <is>
          <t>update-talking-buddy-list-screen</t>
        </is>
      </c>
      <c r="H752" t="inlineStr">
        <is>
          <t>dev</t>
        </is>
      </c>
      <c r="I752" t="inlineStr">
        <is>
          <t>merged</t>
        </is>
      </c>
      <c r="J752" t="inlineStr">
        <is>
          <t>e1f305333aace63cba43658d30ba9d1a29372dfc</t>
        </is>
      </c>
      <c r="K752">
        <f>HYPERLINK("http://gitlab.osmosys.co/talking-buddy/app/-/merge_requests/378#note_243859", "what is cleanRating stand for? Add the definition as inline comment in the code")</f>
        <v/>
      </c>
      <c r="L752" t="inlineStr">
        <is>
          <t>2025-07-29 16:27:50.206 IST</t>
        </is>
      </c>
      <c r="M752" t="inlineStr">
        <is>
          <t>Anand Prakash</t>
        </is>
      </c>
      <c r="N752" t="inlineStr">
        <is>
          <t>Yes</t>
        </is>
      </c>
      <c r="O752" t="inlineStr">
        <is>
          <t>Yes</t>
        </is>
      </c>
      <c r="P752" t="inlineStr">
        <is>
          <t>Palak Gupta</t>
        </is>
      </c>
      <c r="Q752" t="inlineStr">
        <is>
          <t>Bad</t>
        </is>
      </c>
    </row>
    <row r="753">
      <c r="A753" t="inlineStr">
        <is>
          <t>palak.g</t>
        </is>
      </c>
      <c r="B753" t="inlineStr">
        <is>
          <t>Palak Gupta</t>
        </is>
      </c>
      <c r="C753" t="inlineStr">
        <is>
          <t>palak.g@osmosys.co</t>
        </is>
      </c>
      <c r="D753" t="inlineStr">
        <is>
          <t>talking-buddy</t>
        </is>
      </c>
      <c r="E753">
        <f>HYPERLINK("http://gitlab.osmosys.co/talking-buddy/app", "app")</f>
        <v/>
      </c>
      <c r="F753">
        <f>HYPERLINK("http://gitlab.osmosys.co/talking-buddy/app/-/merge_requests/378", "update: Update talking buddy list screen")</f>
        <v/>
      </c>
      <c r="G753" t="inlineStr">
        <is>
          <t>update-talking-buddy-list-screen</t>
        </is>
      </c>
      <c r="H753" t="inlineStr">
        <is>
          <t>dev</t>
        </is>
      </c>
      <c r="I753" t="inlineStr">
        <is>
          <t>merged</t>
        </is>
      </c>
      <c r="J753" t="inlineStr">
        <is>
          <t>e1f305333aace63cba43658d30ba9d1a29372dfc</t>
        </is>
      </c>
      <c r="K753">
        <f>HYPERLINK("http://gitlab.osmosys.co/talking-buddy/app/-/merge_requests/378#note_243885", "Added")</f>
        <v/>
      </c>
      <c r="L753" t="inlineStr">
        <is>
          <t>2025-07-29 16:47:34.406 IST</t>
        </is>
      </c>
      <c r="M753" t="inlineStr">
        <is>
          <t>Palak Gupta</t>
        </is>
      </c>
      <c r="N753" t="inlineStr">
        <is>
          <t>No</t>
        </is>
      </c>
      <c r="O753" t="inlineStr">
        <is>
          <t>Yes</t>
        </is>
      </c>
      <c r="P753" t="inlineStr">
        <is>
          <t>Palak Gupta</t>
        </is>
      </c>
      <c r="Q753" t="inlineStr">
        <is>
          <t>Bad</t>
        </is>
      </c>
    </row>
    <row r="754">
      <c r="A754" t="inlineStr">
        <is>
          <t>palak.g</t>
        </is>
      </c>
      <c r="B754" t="inlineStr">
        <is>
          <t>Palak Gupta</t>
        </is>
      </c>
      <c r="C754" t="inlineStr">
        <is>
          <t>palak.g@osmosys.co</t>
        </is>
      </c>
      <c r="D754" t="inlineStr">
        <is>
          <t>talking-buddy</t>
        </is>
      </c>
      <c r="E754">
        <f>HYPERLINK("http://gitlab.osmosys.co/talking-buddy/app", "app")</f>
        <v/>
      </c>
      <c r="F754">
        <f>HYPERLINK("http://gitlab.osmosys.co/talking-buddy/app/-/merge_requests/378", "update: Update talking buddy list screen")</f>
        <v/>
      </c>
      <c r="G754" t="inlineStr">
        <is>
          <t>update-talking-buddy-list-screen</t>
        </is>
      </c>
      <c r="H754" t="inlineStr">
        <is>
          <t>dev</t>
        </is>
      </c>
      <c r="I754" t="inlineStr">
        <is>
          <t>merged</t>
        </is>
      </c>
      <c r="J754" t="inlineStr">
        <is>
          <t>c2a22aa880ff18e7340739b4f19702fa0fb0bdac</t>
        </is>
      </c>
      <c r="K754">
        <f>HYPERLINK("http://gitlab.osmosys.co/talking-buddy/app/-/merge_requests/378#note_243860", "what is parse rating ? Kindly mention there in comment also.")</f>
        <v/>
      </c>
      <c r="L754" t="inlineStr">
        <is>
          <t>2025-07-29 16:27:50.294 IST</t>
        </is>
      </c>
      <c r="M754" t="inlineStr">
        <is>
          <t>Anand Prakash</t>
        </is>
      </c>
      <c r="N754" t="inlineStr">
        <is>
          <t>Yes</t>
        </is>
      </c>
      <c r="O754" t="inlineStr">
        <is>
          <t>Yes</t>
        </is>
      </c>
      <c r="P754" t="inlineStr">
        <is>
          <t>Palak Gupta</t>
        </is>
      </c>
      <c r="Q754" t="inlineStr">
        <is>
          <t>Bad</t>
        </is>
      </c>
    </row>
    <row r="755">
      <c r="A755" t="inlineStr">
        <is>
          <t>palak.g</t>
        </is>
      </c>
      <c r="B755" t="inlineStr">
        <is>
          <t>Palak Gupta</t>
        </is>
      </c>
      <c r="C755" t="inlineStr">
        <is>
          <t>palak.g@osmosys.co</t>
        </is>
      </c>
      <c r="D755" t="inlineStr">
        <is>
          <t>talking-buddy</t>
        </is>
      </c>
      <c r="E755">
        <f>HYPERLINK("http://gitlab.osmosys.co/talking-buddy/app", "app")</f>
        <v/>
      </c>
      <c r="F755">
        <f>HYPERLINK("http://gitlab.osmosys.co/talking-buddy/app/-/merge_requests/378", "update: Update talking buddy list screen")</f>
        <v/>
      </c>
      <c r="G755" t="inlineStr">
        <is>
          <t>update-talking-buddy-list-screen</t>
        </is>
      </c>
      <c r="H755" t="inlineStr">
        <is>
          <t>dev</t>
        </is>
      </c>
      <c r="I755" t="inlineStr">
        <is>
          <t>merged</t>
        </is>
      </c>
      <c r="J755" t="inlineStr">
        <is>
          <t>c2a22aa880ff18e7340739b4f19702fa0fb0bdac</t>
        </is>
      </c>
      <c r="K755">
        <f>HYPERLINK("http://gitlab.osmosys.co/talking-buddy/app/-/merge_requests/378#note_243886", "Added")</f>
        <v/>
      </c>
      <c r="L755" t="inlineStr">
        <is>
          <t>2025-07-29 16:47:43.802 IST</t>
        </is>
      </c>
      <c r="M755" t="inlineStr">
        <is>
          <t>Palak Gupta</t>
        </is>
      </c>
      <c r="N755" t="inlineStr">
        <is>
          <t>No</t>
        </is>
      </c>
      <c r="O755" t="inlineStr">
        <is>
          <t>Yes</t>
        </is>
      </c>
      <c r="P755" t="inlineStr">
        <is>
          <t>Palak Gupta</t>
        </is>
      </c>
      <c r="Q755" t="inlineStr">
        <is>
          <t>Bad</t>
        </is>
      </c>
    </row>
    <row r="756">
      <c r="A756" t="inlineStr">
        <is>
          <t>palak.g</t>
        </is>
      </c>
      <c r="B756" t="inlineStr">
        <is>
          <t>Palak Gupta</t>
        </is>
      </c>
      <c r="C756" t="inlineStr">
        <is>
          <t>palak.g@osmosys.co</t>
        </is>
      </c>
      <c r="D756" t="inlineStr">
        <is>
          <t>talking-buddy</t>
        </is>
      </c>
      <c r="E756">
        <f>HYPERLINK("http://gitlab.osmosys.co/talking-buddy/app", "app")</f>
        <v/>
      </c>
      <c r="F756">
        <f>HYPERLINK("http://gitlab.osmosys.co/talking-buddy/app/-/merge_requests/375", "fix: Reduce gap and fix account creation for caller")</f>
        <v/>
      </c>
      <c r="G756" t="inlineStr">
        <is>
          <t>update-welcome-screen</t>
        </is>
      </c>
      <c r="H756" t="inlineStr">
        <is>
          <t>dev</t>
        </is>
      </c>
      <c r="I756" t="inlineStr">
        <is>
          <t>merged</t>
        </is>
      </c>
      <c r="J756" t="inlineStr"/>
      <c r="K756" t="inlineStr"/>
      <c r="L756" t="inlineStr"/>
      <c r="M756" t="inlineStr"/>
      <c r="N756" t="inlineStr"/>
      <c r="O756" t="inlineStr"/>
      <c r="P756" t="inlineStr"/>
      <c r="Q756" t="inlineStr"/>
    </row>
    <row r="757">
      <c r="A757" t="inlineStr">
        <is>
          <t>palak.g</t>
        </is>
      </c>
      <c r="B757" t="inlineStr">
        <is>
          <t>Palak Gupta</t>
        </is>
      </c>
      <c r="C757" t="inlineStr">
        <is>
          <t>palak.g@osmosys.co</t>
        </is>
      </c>
      <c r="D757" t="inlineStr">
        <is>
          <t>talking-buddy</t>
        </is>
      </c>
      <c r="E757">
        <f>HYPERLINK("http://gitlab.osmosys.co/talking-buddy/app", "app")</f>
        <v/>
      </c>
      <c r="F757">
        <f>HYPERLINK("http://gitlab.osmosys.co/talking-buddy/app/-/merge_requests/374", "update: Update talking buddy search screen")</f>
        <v/>
      </c>
      <c r="G757" t="inlineStr">
        <is>
          <t>update-talking-buddy-search-screen</t>
        </is>
      </c>
      <c r="H757" t="inlineStr">
        <is>
          <t>dev</t>
        </is>
      </c>
      <c r="I757" t="inlineStr">
        <is>
          <t>merged</t>
        </is>
      </c>
      <c r="J757" t="inlineStr"/>
      <c r="K757" t="inlineStr"/>
      <c r="L757" t="inlineStr"/>
      <c r="M757" t="inlineStr"/>
      <c r="N757" t="inlineStr"/>
      <c r="O757" t="inlineStr"/>
      <c r="P757" t="inlineStr"/>
      <c r="Q757" t="inlineStr"/>
    </row>
    <row r="758">
      <c r="A758" t="inlineStr">
        <is>
          <t>palak.g</t>
        </is>
      </c>
      <c r="B758" t="inlineStr">
        <is>
          <t>Palak Gupta</t>
        </is>
      </c>
      <c r="C758" t="inlineStr">
        <is>
          <t>palak.g@osmosys.co</t>
        </is>
      </c>
      <c r="D758" t="inlineStr">
        <is>
          <t>talking-buddy</t>
        </is>
      </c>
      <c r="E758">
        <f>HYPERLINK("http://gitlab.osmosys.co/talking-buddy/app", "app")</f>
        <v/>
      </c>
      <c r="F758">
        <f>HYPERLINK("http://gitlab.osmosys.co/talking-buddy/app/-/merge_requests/373", "update: Update welcome screen")</f>
        <v/>
      </c>
      <c r="G758" t="inlineStr">
        <is>
          <t>update-welcome-screen</t>
        </is>
      </c>
      <c r="H758" t="inlineStr">
        <is>
          <t>dev</t>
        </is>
      </c>
      <c r="I758" t="inlineStr">
        <is>
          <t>merged</t>
        </is>
      </c>
      <c r="J758" t="inlineStr">
        <is>
          <t>ea7eadb810515bf4bc33c4fd7bc037ab2a553f1c</t>
        </is>
      </c>
      <c r="K758">
        <f>HYPERLINK("http://gitlab.osmosys.co/talking-buddy/app/-/merge_requests/373#note_239866", "The disable button colour should be grey as shared in the design.&lt;br&gt;
Also check the fonts as shared in the design. Ensure this page should fits within the screen. for small screen it scroll is fine.")</f>
        <v/>
      </c>
      <c r="L758" t="inlineStr">
        <is>
          <t>2025-07-22 11:24:05.444 IST</t>
        </is>
      </c>
      <c r="M758" t="inlineStr">
        <is>
          <t>Anand Prakash</t>
        </is>
      </c>
      <c r="N758" t="inlineStr">
        <is>
          <t>Yes</t>
        </is>
      </c>
      <c r="O758" t="inlineStr">
        <is>
          <t>Yes</t>
        </is>
      </c>
      <c r="P758" t="inlineStr">
        <is>
          <t>Anand Prakash</t>
        </is>
      </c>
      <c r="Q758" t="inlineStr">
        <is>
          <t>Bad</t>
        </is>
      </c>
    </row>
    <row r="759">
      <c r="A759" t="inlineStr">
        <is>
          <t>palak.g</t>
        </is>
      </c>
      <c r="B759" t="inlineStr">
        <is>
          <t>Palak Gupta</t>
        </is>
      </c>
      <c r="C759" t="inlineStr">
        <is>
          <t>palak.g@osmosys.co</t>
        </is>
      </c>
      <c r="D759" t="inlineStr">
        <is>
          <t>talking-buddy</t>
        </is>
      </c>
      <c r="E759">
        <f>HYPERLINK("http://gitlab.osmosys.co/talking-buddy/app", "app")</f>
        <v/>
      </c>
      <c r="F759">
        <f>HYPERLINK("http://gitlab.osmosys.co/talking-buddy/app/-/merge_requests/373", "update: Update welcome screen")</f>
        <v/>
      </c>
      <c r="G759" t="inlineStr">
        <is>
          <t>update-welcome-screen</t>
        </is>
      </c>
      <c r="H759" t="inlineStr">
        <is>
          <t>dev</t>
        </is>
      </c>
      <c r="I759" t="inlineStr">
        <is>
          <t>merged</t>
        </is>
      </c>
      <c r="J759" t="inlineStr">
        <is>
          <t>ea7eadb810515bf4bc33c4fd7bc037ab2a553f1c</t>
        </is>
      </c>
      <c r="K759">
        <f>HYPERLINK("http://gitlab.osmosys.co/talking-buddy/app/-/merge_requests/373#note_240158", "Background colour for disabled button has been updated. Have also updated text styles.")</f>
        <v/>
      </c>
      <c r="L759" t="inlineStr">
        <is>
          <t>2025-07-22 13:23:57.717 IST</t>
        </is>
      </c>
      <c r="M759" t="inlineStr">
        <is>
          <t>Palak Gupta</t>
        </is>
      </c>
      <c r="N759" t="inlineStr">
        <is>
          <t>No</t>
        </is>
      </c>
      <c r="O759" t="inlineStr">
        <is>
          <t>Yes</t>
        </is>
      </c>
      <c r="P759" t="inlineStr">
        <is>
          <t>Anand Prakash</t>
        </is>
      </c>
      <c r="Q759" t="inlineStr">
        <is>
          <t>Bad</t>
        </is>
      </c>
    </row>
    <row r="760">
      <c r="A760" t="inlineStr">
        <is>
          <t>palak.g</t>
        </is>
      </c>
      <c r="B760" t="inlineStr">
        <is>
          <t>Palak Gupta</t>
        </is>
      </c>
      <c r="C760" t="inlineStr">
        <is>
          <t>palak.g@osmosys.co</t>
        </is>
      </c>
      <c r="D760" t="inlineStr">
        <is>
          <t>talking-buddy</t>
        </is>
      </c>
      <c r="E760">
        <f>HYPERLINK("http://gitlab.osmosys.co/talking-buddy/app", "app")</f>
        <v/>
      </c>
      <c r="F760">
        <f>HYPERLINK("http://gitlab.osmosys.co/talking-buddy/app/-/merge_requests/373", "update: Update welcome screen")</f>
        <v/>
      </c>
      <c r="G760" t="inlineStr">
        <is>
          <t>update-welcome-screen</t>
        </is>
      </c>
      <c r="H760" t="inlineStr">
        <is>
          <t>dev</t>
        </is>
      </c>
      <c r="I760" t="inlineStr">
        <is>
          <t>merged</t>
        </is>
      </c>
      <c r="J760" t="inlineStr">
        <is>
          <t>ea7eadb810515bf4bc33c4fd7bc037ab2a553f1c</t>
        </is>
      </c>
      <c r="K760">
        <f>HYPERLINK("http://gitlab.osmosys.co/talking-buddy/app/-/merge_requests/373#note_240314", "update the screen shot in description")</f>
        <v/>
      </c>
      <c r="L760" t="inlineStr">
        <is>
          <t>2025-07-22 16:16:19.326 IST</t>
        </is>
      </c>
      <c r="M760" t="inlineStr">
        <is>
          <t>Anand Prakash</t>
        </is>
      </c>
      <c r="N760" t="inlineStr">
        <is>
          <t>Yes</t>
        </is>
      </c>
      <c r="O760" t="inlineStr">
        <is>
          <t>Yes</t>
        </is>
      </c>
      <c r="P760" t="inlineStr">
        <is>
          <t>Anand Prakash</t>
        </is>
      </c>
      <c r="Q760" t="inlineStr">
        <is>
          <t>Bad</t>
        </is>
      </c>
    </row>
    <row r="761">
      <c r="A761" t="inlineStr">
        <is>
          <t>palak.g</t>
        </is>
      </c>
      <c r="B761" t="inlineStr">
        <is>
          <t>Palak Gupta</t>
        </is>
      </c>
      <c r="C761" t="inlineStr">
        <is>
          <t>palak.g@osmosys.co</t>
        </is>
      </c>
      <c r="D761" t="inlineStr">
        <is>
          <t>talking-buddy</t>
        </is>
      </c>
      <c r="E761">
        <f>HYPERLINK("http://gitlab.osmosys.co/talking-buddy/app", "app")</f>
        <v/>
      </c>
      <c r="F761">
        <f>HYPERLINK("http://gitlab.osmosys.co/talking-buddy/app/-/merge_requests/373", "update: Update welcome screen")</f>
        <v/>
      </c>
      <c r="G761" t="inlineStr">
        <is>
          <t>update-welcome-screen</t>
        </is>
      </c>
      <c r="H761" t="inlineStr">
        <is>
          <t>dev</t>
        </is>
      </c>
      <c r="I761" t="inlineStr">
        <is>
          <t>merged</t>
        </is>
      </c>
      <c r="J761" t="inlineStr">
        <is>
          <t>ea7eadb810515bf4bc33c4fd7bc037ab2a553f1c</t>
        </is>
      </c>
      <c r="K761">
        <f>HYPERLINK("http://gitlab.osmosys.co/talking-buddy/app/-/merge_requests/373#note_240324", "Its been updated.")</f>
        <v/>
      </c>
      <c r="L761" t="inlineStr">
        <is>
          <t>2025-07-22 16:31:48.505 IST</t>
        </is>
      </c>
      <c r="M761" t="inlineStr">
        <is>
          <t>Palak Gupta</t>
        </is>
      </c>
      <c r="N761" t="inlineStr">
        <is>
          <t>No</t>
        </is>
      </c>
      <c r="O761" t="inlineStr">
        <is>
          <t>Yes</t>
        </is>
      </c>
      <c r="P761" t="inlineStr">
        <is>
          <t>Palak Gupta</t>
        </is>
      </c>
      <c r="Q761" t="inlineStr">
        <is>
          <t>Bad</t>
        </is>
      </c>
    </row>
    <row r="762">
      <c r="A762" t="inlineStr">
        <is>
          <t>palak.g</t>
        </is>
      </c>
      <c r="B762" t="inlineStr">
        <is>
          <t>Palak Gupta</t>
        </is>
      </c>
      <c r="C762" t="inlineStr">
        <is>
          <t>palak.g@osmosys.co</t>
        </is>
      </c>
      <c r="D762" t="inlineStr">
        <is>
          <t>talking-buddy</t>
        </is>
      </c>
      <c r="E762">
        <f>HYPERLINK("http://gitlab.osmosys.co/talking-buddy/app", "app")</f>
        <v/>
      </c>
      <c r="F762">
        <f>HYPERLINK("http://gitlab.osmosys.co/talking-buddy/app/-/merge_requests/373", "update: Update welcome screen")</f>
        <v/>
      </c>
      <c r="G762" t="inlineStr">
        <is>
          <t>update-welcome-screen</t>
        </is>
      </c>
      <c r="H762" t="inlineStr">
        <is>
          <t>dev</t>
        </is>
      </c>
      <c r="I762" t="inlineStr">
        <is>
          <t>merged</t>
        </is>
      </c>
      <c r="J762" t="inlineStr">
        <is>
          <t>b8db7bcd9faea32d2f0049dbfa77a5ccd33e1b8e</t>
        </is>
      </c>
      <c r="K762">
        <f>HYPERLINK("http://gitlab.osmosys.co/talking-buddy/app/-/merge_requests/373#note_239878", "what is this random testsize for?")</f>
        <v/>
      </c>
      <c r="L762" t="inlineStr">
        <is>
          <t>2025-07-22 11:25:50.807 IST</t>
        </is>
      </c>
      <c r="M762" t="inlineStr">
        <is>
          <t>Anand Prakash</t>
        </is>
      </c>
      <c r="N762" t="inlineStr">
        <is>
          <t>Yes</t>
        </is>
      </c>
      <c r="O762" t="inlineStr">
        <is>
          <t>Yes</t>
        </is>
      </c>
      <c r="P762" t="inlineStr">
        <is>
          <t>Palak Gupta</t>
        </is>
      </c>
      <c r="Q762" t="inlineStr">
        <is>
          <t>Bad</t>
        </is>
      </c>
    </row>
    <row r="763">
      <c r="A763" t="inlineStr">
        <is>
          <t>palak.g</t>
        </is>
      </c>
      <c r="B763" t="inlineStr">
        <is>
          <t>Palak Gupta</t>
        </is>
      </c>
      <c r="C763" t="inlineStr">
        <is>
          <t>palak.g@osmosys.co</t>
        </is>
      </c>
      <c r="D763" t="inlineStr">
        <is>
          <t>talking-buddy</t>
        </is>
      </c>
      <c r="E763">
        <f>HYPERLINK("http://gitlab.osmosys.co/talking-buddy/app", "app")</f>
        <v/>
      </c>
      <c r="F763">
        <f>HYPERLINK("http://gitlab.osmosys.co/talking-buddy/app/-/merge_requests/373", "update: Update welcome screen")</f>
        <v/>
      </c>
      <c r="G763" t="inlineStr">
        <is>
          <t>update-welcome-screen</t>
        </is>
      </c>
      <c r="H763" t="inlineStr">
        <is>
          <t>dev</t>
        </is>
      </c>
      <c r="I763" t="inlineStr">
        <is>
          <t>merged</t>
        </is>
      </c>
      <c r="J763" t="inlineStr">
        <is>
          <t>b8db7bcd9faea32d2f0049dbfa77a5ccd33e1b8e</t>
        </is>
      </c>
      <c r="K763">
        <f>HYPERLINK("http://gitlab.osmosys.co/talking-buddy/app/-/merge_requests/373#note_239904", "This is used for caller and talking buddy description. Because font size 12 and 14 were not matching with UI and 13 was fitting perfectly.")</f>
        <v/>
      </c>
      <c r="L763" t="inlineStr">
        <is>
          <t>2025-07-22 11:31:35.382 IST</t>
        </is>
      </c>
      <c r="M763" t="inlineStr">
        <is>
          <t>Palak Gupta</t>
        </is>
      </c>
      <c r="N763" t="inlineStr">
        <is>
          <t>No</t>
        </is>
      </c>
      <c r="O763" t="inlineStr">
        <is>
          <t>Yes</t>
        </is>
      </c>
      <c r="P763" t="inlineStr">
        <is>
          <t>Palak Gupta</t>
        </is>
      </c>
      <c r="Q763" t="inlineStr">
        <is>
          <t>Bad</t>
        </is>
      </c>
    </row>
    <row r="764">
      <c r="A764" t="inlineStr">
        <is>
          <t>palak.g</t>
        </is>
      </c>
      <c r="B764" t="inlineStr">
        <is>
          <t>Palak Gupta</t>
        </is>
      </c>
      <c r="C764" t="inlineStr">
        <is>
          <t>palak.g@osmosys.co</t>
        </is>
      </c>
      <c r="D764" t="inlineStr">
        <is>
          <t>talking-buddy</t>
        </is>
      </c>
      <c r="E764">
        <f>HYPERLINK("http://gitlab.osmosys.co/talking-buddy/app", "app")</f>
        <v/>
      </c>
      <c r="F764">
        <f>HYPERLINK("http://gitlab.osmosys.co/talking-buddy/app/-/merge_requests/373", "update: Update welcome screen")</f>
        <v/>
      </c>
      <c r="G764" t="inlineStr">
        <is>
          <t>update-welcome-screen</t>
        </is>
      </c>
      <c r="H764" t="inlineStr">
        <is>
          <t>dev</t>
        </is>
      </c>
      <c r="I764" t="inlineStr">
        <is>
          <t>merged</t>
        </is>
      </c>
      <c r="J764" t="inlineStr">
        <is>
          <t>b8db7bcd9faea32d2f0049dbfa77a5ccd33e1b8e</t>
        </is>
      </c>
      <c r="K764">
        <f>HYPERLINK("http://gitlab.osmosys.co/talking-buddy/app/-/merge_requests/373#note_240313", "follow what we were following, for para dont create another font size.")</f>
        <v/>
      </c>
      <c r="L764" t="inlineStr">
        <is>
          <t>2025-07-22 16:16:19.254 IST</t>
        </is>
      </c>
      <c r="M764" t="inlineStr">
        <is>
          <t>Anand Prakash</t>
        </is>
      </c>
      <c r="N764" t="inlineStr">
        <is>
          <t>Yes</t>
        </is>
      </c>
      <c r="O764" t="inlineStr">
        <is>
          <t>Yes</t>
        </is>
      </c>
      <c r="P764" t="inlineStr">
        <is>
          <t>Palak Gupta</t>
        </is>
      </c>
      <c r="Q764" t="inlineStr">
        <is>
          <t>Bad</t>
        </is>
      </c>
    </row>
    <row r="765">
      <c r="A765" t="inlineStr">
        <is>
          <t>palak.g</t>
        </is>
      </c>
      <c r="B765" t="inlineStr">
        <is>
          <t>Palak Gupta</t>
        </is>
      </c>
      <c r="C765" t="inlineStr">
        <is>
          <t>palak.g@osmosys.co</t>
        </is>
      </c>
      <c r="D765" t="inlineStr">
        <is>
          <t>talking-buddy</t>
        </is>
      </c>
      <c r="E765">
        <f>HYPERLINK("http://gitlab.osmosys.co/talking-buddy/app", "app")</f>
        <v/>
      </c>
      <c r="F765">
        <f>HYPERLINK("http://gitlab.osmosys.co/talking-buddy/app/-/merge_requests/373", "update: Update welcome screen")</f>
        <v/>
      </c>
      <c r="G765" t="inlineStr">
        <is>
          <t>update-welcome-screen</t>
        </is>
      </c>
      <c r="H765" t="inlineStr">
        <is>
          <t>dev</t>
        </is>
      </c>
      <c r="I765" t="inlineStr">
        <is>
          <t>merged</t>
        </is>
      </c>
      <c r="J765" t="inlineStr">
        <is>
          <t>b8db7bcd9faea32d2f0049dbfa77a5ccd33e1b8e</t>
        </is>
      </c>
      <c r="K765">
        <f>HYPERLINK("http://gitlab.osmosys.co/talking-buddy/app/-/merge_requests/373#note_240322", "Done.")</f>
        <v/>
      </c>
      <c r="L765" t="inlineStr">
        <is>
          <t>2025-07-22 16:30:53.131 IST</t>
        </is>
      </c>
      <c r="M765" t="inlineStr">
        <is>
          <t>Palak Gupta</t>
        </is>
      </c>
      <c r="N765" t="inlineStr">
        <is>
          <t>No</t>
        </is>
      </c>
      <c r="O765" t="inlineStr">
        <is>
          <t>Yes</t>
        </is>
      </c>
      <c r="P765" t="inlineStr">
        <is>
          <t>Palak Gupta</t>
        </is>
      </c>
      <c r="Q765" t="inlineStr">
        <is>
          <t>Bad</t>
        </is>
      </c>
    </row>
    <row r="766">
      <c r="A766" t="inlineStr">
        <is>
          <t>palak.g</t>
        </is>
      </c>
      <c r="B766" t="inlineStr">
        <is>
          <t>Palak Gupta</t>
        </is>
      </c>
      <c r="C766" t="inlineStr">
        <is>
          <t>palak.g@osmosys.co</t>
        </is>
      </c>
      <c r="D766" t="inlineStr">
        <is>
          <t>talking-buddy</t>
        </is>
      </c>
      <c r="E766">
        <f>HYPERLINK("http://gitlab.osmosys.co/talking-buddy/app", "app")</f>
        <v/>
      </c>
      <c r="F766">
        <f>HYPERLINK("http://gitlab.osmosys.co/talking-buddy/app/-/merge_requests/372", "update: Update Get Started screen")</f>
        <v/>
      </c>
      <c r="G766" t="inlineStr">
        <is>
          <t>update-get-started-screen</t>
        </is>
      </c>
      <c r="H766" t="inlineStr">
        <is>
          <t>dev</t>
        </is>
      </c>
      <c r="I766" t="inlineStr">
        <is>
          <t>merged</t>
        </is>
      </c>
      <c r="J766" t="inlineStr">
        <is>
          <t>ceb0031e8c2e144c570d59856b7d84815fb3c3e0</t>
        </is>
      </c>
      <c r="K766">
        <f>HYPERLINK("http://gitlab.osmosys.co/talking-buddy/app/-/merge_requests/372#note_239782", "Why this image is added? This colour could be added as background colour instead of image.")</f>
        <v/>
      </c>
      <c r="L766" t="inlineStr">
        <is>
          <t>2025-07-22 10:44:59.713 IST</t>
        </is>
      </c>
      <c r="M766" t="inlineStr">
        <is>
          <t>Anand Prakash</t>
        </is>
      </c>
      <c r="N766" t="inlineStr">
        <is>
          <t>Yes</t>
        </is>
      </c>
      <c r="O766" t="inlineStr">
        <is>
          <t>Yes</t>
        </is>
      </c>
      <c r="P766" t="inlineStr">
        <is>
          <t>Palak Gupta</t>
        </is>
      </c>
      <c r="Q766" t="inlineStr">
        <is>
          <t>Bad</t>
        </is>
      </c>
    </row>
    <row r="767">
      <c r="A767" t="inlineStr">
        <is>
          <t>palak.g</t>
        </is>
      </c>
      <c r="B767" t="inlineStr">
        <is>
          <t>Palak Gupta</t>
        </is>
      </c>
      <c r="C767" t="inlineStr">
        <is>
          <t>palak.g@osmosys.co</t>
        </is>
      </c>
      <c r="D767" t="inlineStr">
        <is>
          <t>talking-buddy</t>
        </is>
      </c>
      <c r="E767">
        <f>HYPERLINK("http://gitlab.osmosys.co/talking-buddy/app", "app")</f>
        <v/>
      </c>
      <c r="F767">
        <f>HYPERLINK("http://gitlab.osmosys.co/talking-buddy/app/-/merge_requests/372", "update: Update Get Started screen")</f>
        <v/>
      </c>
      <c r="G767" t="inlineStr">
        <is>
          <t>update-get-started-screen</t>
        </is>
      </c>
      <c r="H767" t="inlineStr">
        <is>
          <t>dev</t>
        </is>
      </c>
      <c r="I767" t="inlineStr">
        <is>
          <t>merged</t>
        </is>
      </c>
      <c r="J767" t="inlineStr">
        <is>
          <t>ceb0031e8c2e144c570d59856b7d84815fb3c3e0</t>
        </is>
      </c>
      <c r="K767">
        <f>HYPERLINK("http://gitlab.osmosys.co/talking-buddy/app/-/merge_requests/372#note_239803", "I have first tried to add colour only but could not find the exact shade which could replicate the UI. Later you have shared the background image here - https://osmosysasia.sharepoint.com/:f:/s/OsmosysDocumentRepository/ElZh-zRQuAZLqgpfbbFtP4cBnPB-VvwigLHhue9RWNLZEw?e=yAkG51.")</f>
        <v/>
      </c>
      <c r="L767" t="inlineStr">
        <is>
          <t>2025-07-22 10:51:03.029 IST</t>
        </is>
      </c>
      <c r="M767" t="inlineStr">
        <is>
          <t>Palak Gupta</t>
        </is>
      </c>
      <c r="N767" t="inlineStr">
        <is>
          <t>No</t>
        </is>
      </c>
      <c r="O767" t="inlineStr">
        <is>
          <t>Yes</t>
        </is>
      </c>
      <c r="P767" t="inlineStr">
        <is>
          <t>Palak Gupta</t>
        </is>
      </c>
      <c r="Q767" t="inlineStr">
        <is>
          <t>Bad</t>
        </is>
      </c>
    </row>
    <row r="768">
      <c r="A768" t="inlineStr">
        <is>
          <t>palak.g</t>
        </is>
      </c>
      <c r="B768" t="inlineStr">
        <is>
          <t>Palak Gupta</t>
        </is>
      </c>
      <c r="C768" t="inlineStr">
        <is>
          <t>palak.g@osmosys.co</t>
        </is>
      </c>
      <c r="D768" t="inlineStr">
        <is>
          <t>talking-buddy</t>
        </is>
      </c>
      <c r="E768">
        <f>HYPERLINK("http://gitlab.osmosys.co/talking-buddy/app", "app")</f>
        <v/>
      </c>
      <c r="F768">
        <f>HYPERLINK("http://gitlab.osmosys.co/talking-buddy/app/-/merge_requests/372", "update: Update Get Started screen")</f>
        <v/>
      </c>
      <c r="G768" t="inlineStr">
        <is>
          <t>update-get-started-screen</t>
        </is>
      </c>
      <c r="H768" t="inlineStr">
        <is>
          <t>dev</t>
        </is>
      </c>
      <c r="I768" t="inlineStr">
        <is>
          <t>merged</t>
        </is>
      </c>
      <c r="J768" t="inlineStr">
        <is>
          <t>ceb0031e8c2e144c570d59856b7d84815fb3c3e0</t>
        </is>
      </c>
      <c r="K768">
        <f>HYPERLINK("http://gitlab.osmosys.co/talking-buddy/app/-/merge_requests/372#note_239921", "As you already have color code now, remove this image")</f>
        <v/>
      </c>
      <c r="L768" t="inlineStr">
        <is>
          <t>2025-07-22 11:37:11.574 IST</t>
        </is>
      </c>
      <c r="M768" t="inlineStr">
        <is>
          <t>Anand Prakash</t>
        </is>
      </c>
      <c r="N768" t="inlineStr">
        <is>
          <t>Yes</t>
        </is>
      </c>
      <c r="O768" t="inlineStr">
        <is>
          <t>Yes</t>
        </is>
      </c>
      <c r="P768" t="inlineStr">
        <is>
          <t>Palak Gupta</t>
        </is>
      </c>
      <c r="Q768" t="inlineStr">
        <is>
          <t>Bad</t>
        </is>
      </c>
    </row>
    <row r="769">
      <c r="A769" t="inlineStr">
        <is>
          <t>palak.g</t>
        </is>
      </c>
      <c r="B769" t="inlineStr">
        <is>
          <t>Palak Gupta</t>
        </is>
      </c>
      <c r="C769" t="inlineStr">
        <is>
          <t>palak.g@osmosys.co</t>
        </is>
      </c>
      <c r="D769" t="inlineStr">
        <is>
          <t>talking-buddy</t>
        </is>
      </c>
      <c r="E769">
        <f>HYPERLINK("http://gitlab.osmosys.co/talking-buddy/app", "app")</f>
        <v/>
      </c>
      <c r="F769">
        <f>HYPERLINK("http://gitlab.osmosys.co/talking-buddy/app/-/merge_requests/372", "update: Update Get Started screen")</f>
        <v/>
      </c>
      <c r="G769" t="inlineStr">
        <is>
          <t>update-get-started-screen</t>
        </is>
      </c>
      <c r="H769" t="inlineStr">
        <is>
          <t>dev</t>
        </is>
      </c>
      <c r="I769" t="inlineStr">
        <is>
          <t>merged</t>
        </is>
      </c>
      <c r="J769" t="inlineStr">
        <is>
          <t>ceb0031e8c2e144c570d59856b7d84815fb3c3e0</t>
        </is>
      </c>
      <c r="K769">
        <f>HYPERLINK("http://gitlab.osmosys.co/talking-buddy/app/-/merge_requests/372#note_239982", "Made the changes.")</f>
        <v/>
      </c>
      <c r="L769" t="inlineStr">
        <is>
          <t>2025-07-22 12:07:23.566 IST</t>
        </is>
      </c>
      <c r="M769" t="inlineStr">
        <is>
          <t>Palak Gupta</t>
        </is>
      </c>
      <c r="N769" t="inlineStr">
        <is>
          <t>No</t>
        </is>
      </c>
      <c r="O769" t="inlineStr">
        <is>
          <t>Yes</t>
        </is>
      </c>
      <c r="P769" t="inlineStr">
        <is>
          <t>Palak Gupta</t>
        </is>
      </c>
      <c r="Q769" t="inlineStr">
        <is>
          <t>Bad</t>
        </is>
      </c>
    </row>
    <row r="770">
      <c r="A770" t="inlineStr">
        <is>
          <t>palak.g</t>
        </is>
      </c>
      <c r="B770" t="inlineStr">
        <is>
          <t>Palak Gupta</t>
        </is>
      </c>
      <c r="C770" t="inlineStr">
        <is>
          <t>palak.g@osmosys.co</t>
        </is>
      </c>
      <c r="D770" t="inlineStr">
        <is>
          <t>talking-buddy</t>
        </is>
      </c>
      <c r="E770">
        <f>HYPERLINK("http://gitlab.osmosys.co/talking-buddy/app", "app")</f>
        <v/>
      </c>
      <c r="F770">
        <f>HYPERLINK("http://gitlab.osmosys.co/talking-buddy/app/-/merge_requests/372", "update: Update Get Started screen")</f>
        <v/>
      </c>
      <c r="G770" t="inlineStr">
        <is>
          <t>update-get-started-screen</t>
        </is>
      </c>
      <c r="H770" t="inlineStr">
        <is>
          <t>dev</t>
        </is>
      </c>
      <c r="I770" t="inlineStr">
        <is>
          <t>merged</t>
        </is>
      </c>
      <c r="J770" t="inlineStr">
        <is>
          <t>ceb0031e8c2e144c570d59856b7d84815fb3c3e0</t>
        </is>
      </c>
      <c r="K770">
        <f>HYPERLINK("http://gitlab.osmosys.co/talking-buddy/app/-/merge_requests/372#note_240103", "kindly remove the image")</f>
        <v/>
      </c>
      <c r="L770" t="inlineStr">
        <is>
          <t>2025-07-22 12:50:53.339 IST</t>
        </is>
      </c>
      <c r="M770" t="inlineStr">
        <is>
          <t>Anand Prakash</t>
        </is>
      </c>
      <c r="N770" t="inlineStr">
        <is>
          <t>Yes</t>
        </is>
      </c>
      <c r="O770" t="inlineStr">
        <is>
          <t>Yes</t>
        </is>
      </c>
      <c r="P770" t="inlineStr">
        <is>
          <t>Palak Gupta</t>
        </is>
      </c>
      <c r="Q770" t="inlineStr">
        <is>
          <t>Bad</t>
        </is>
      </c>
    </row>
    <row r="771">
      <c r="A771" t="inlineStr">
        <is>
          <t>palak.g</t>
        </is>
      </c>
      <c r="B771" t="inlineStr">
        <is>
          <t>Palak Gupta</t>
        </is>
      </c>
      <c r="C771" t="inlineStr">
        <is>
          <t>palak.g@osmosys.co</t>
        </is>
      </c>
      <c r="D771" t="inlineStr">
        <is>
          <t>talking-buddy</t>
        </is>
      </c>
      <c r="E771">
        <f>HYPERLINK("http://gitlab.osmosys.co/talking-buddy/app", "app")</f>
        <v/>
      </c>
      <c r="F771">
        <f>HYPERLINK("http://gitlab.osmosys.co/talking-buddy/app/-/merge_requests/372", "update: Update Get Started screen")</f>
        <v/>
      </c>
      <c r="G771" t="inlineStr">
        <is>
          <t>update-get-started-screen</t>
        </is>
      </c>
      <c r="H771" t="inlineStr">
        <is>
          <t>dev</t>
        </is>
      </c>
      <c r="I771" t="inlineStr">
        <is>
          <t>merged</t>
        </is>
      </c>
      <c r="J771" t="inlineStr">
        <is>
          <t>ceb0031e8c2e144c570d59856b7d84815fb3c3e0</t>
        </is>
      </c>
      <c r="K771">
        <f>HYPERLINK("http://gitlab.osmosys.co/talking-buddy/app/-/merge_requests/372#note_240220", "Removed")</f>
        <v/>
      </c>
      <c r="L771" t="inlineStr">
        <is>
          <t>2025-07-22 15:19:40.252 IST</t>
        </is>
      </c>
      <c r="M771" t="inlineStr">
        <is>
          <t>Palak Gupta</t>
        </is>
      </c>
      <c r="N771" t="inlineStr">
        <is>
          <t>No</t>
        </is>
      </c>
      <c r="O771" t="inlineStr">
        <is>
          <t>Yes</t>
        </is>
      </c>
      <c r="P771" t="inlineStr">
        <is>
          <t>Palak Gupta</t>
        </is>
      </c>
      <c r="Q771" t="inlineStr">
        <is>
          <t>Bad</t>
        </is>
      </c>
    </row>
    <row r="772">
      <c r="A772" t="inlineStr">
        <is>
          <t>palak.g</t>
        </is>
      </c>
      <c r="B772" t="inlineStr">
        <is>
          <t>Palak Gupta</t>
        </is>
      </c>
      <c r="C772" t="inlineStr">
        <is>
          <t>palak.g@osmosys.co</t>
        </is>
      </c>
      <c r="D772" t="inlineStr">
        <is>
          <t>talking-buddy</t>
        </is>
      </c>
      <c r="E772">
        <f>HYPERLINK("http://gitlab.osmosys.co/talking-buddy/app", "app")</f>
        <v/>
      </c>
      <c r="F772">
        <f>HYPERLINK("http://gitlab.osmosys.co/talking-buddy/app/-/merge_requests/372", "update: Update Get Started screen")</f>
        <v/>
      </c>
      <c r="G772" t="inlineStr">
        <is>
          <t>update-get-started-screen</t>
        </is>
      </c>
      <c r="H772" t="inlineStr">
        <is>
          <t>dev</t>
        </is>
      </c>
      <c r="I772" t="inlineStr">
        <is>
          <t>merged</t>
        </is>
      </c>
      <c r="J772" t="inlineStr">
        <is>
          <t>3275900978c1e4b352aa8ebd3eb51af70ff0abaf</t>
        </is>
      </c>
      <c r="K772">
        <f>HYPERLINK("http://gitlab.osmosys.co/talking-buddy/app/-/merge_requests/372#note_239783", "why this image is added? This could be designed.")</f>
        <v/>
      </c>
      <c r="L772" t="inlineStr">
        <is>
          <t>2025-07-22 10:44:59.779 IST</t>
        </is>
      </c>
      <c r="M772" t="inlineStr">
        <is>
          <t>Anand Prakash</t>
        </is>
      </c>
      <c r="N772" t="inlineStr">
        <is>
          <t>Yes</t>
        </is>
      </c>
      <c r="O772" t="inlineStr">
        <is>
          <t>Yes</t>
        </is>
      </c>
      <c r="P772" t="inlineStr">
        <is>
          <t>Anand Prakash</t>
        </is>
      </c>
      <c r="Q772" t="inlineStr">
        <is>
          <t>Neutral</t>
        </is>
      </c>
    </row>
    <row r="773">
      <c r="A773" t="inlineStr">
        <is>
          <t>palak.g</t>
        </is>
      </c>
      <c r="B773" t="inlineStr">
        <is>
          <t>Palak Gupta</t>
        </is>
      </c>
      <c r="C773" t="inlineStr">
        <is>
          <t>palak.g@osmosys.co</t>
        </is>
      </c>
      <c r="D773" t="inlineStr">
        <is>
          <t>talking-buddy</t>
        </is>
      </c>
      <c r="E773">
        <f>HYPERLINK("http://gitlab.osmosys.co/talking-buddy/app", "app")</f>
        <v/>
      </c>
      <c r="F773">
        <f>HYPERLINK("http://gitlab.osmosys.co/talking-buddy/app/-/merge_requests/372", "update: Update Get Started screen")</f>
        <v/>
      </c>
      <c r="G773" t="inlineStr">
        <is>
          <t>update-get-started-screen</t>
        </is>
      </c>
      <c r="H773" t="inlineStr">
        <is>
          <t>dev</t>
        </is>
      </c>
      <c r="I773" t="inlineStr">
        <is>
          <t>merged</t>
        </is>
      </c>
      <c r="J773" t="inlineStr">
        <is>
          <t>3275900978c1e4b352aa8ebd3eb51af70ff0abaf</t>
        </is>
      </c>
      <c r="K773">
        <f>HYPERLINK("http://gitlab.osmosys.co/talking-buddy/app/-/merge_requests/372#note_239804", "It was designed earlier using widgets earlier. But it was looking rendering differently in different screens. Later you have only shared the concentric circles image to be used.")</f>
        <v/>
      </c>
      <c r="L773" t="inlineStr">
        <is>
          <t>2025-07-22 10:52:55.124 IST</t>
        </is>
      </c>
      <c r="M773" t="inlineStr">
        <is>
          <t>Palak Gupta</t>
        </is>
      </c>
      <c r="N773" t="inlineStr">
        <is>
          <t>No</t>
        </is>
      </c>
      <c r="O773" t="inlineStr">
        <is>
          <t>Yes</t>
        </is>
      </c>
      <c r="P773" t="inlineStr">
        <is>
          <t>Anand Prakash</t>
        </is>
      </c>
      <c r="Q773" t="inlineStr">
        <is>
          <t>Neutral</t>
        </is>
      </c>
    </row>
    <row r="774">
      <c r="A774" t="inlineStr">
        <is>
          <t>palak.g</t>
        </is>
      </c>
      <c r="B774" t="inlineStr">
        <is>
          <t>Palak Gupta</t>
        </is>
      </c>
      <c r="C774" t="inlineStr">
        <is>
          <t>palak.g@osmosys.co</t>
        </is>
      </c>
      <c r="D774" t="inlineStr">
        <is>
          <t>talking-buddy</t>
        </is>
      </c>
      <c r="E774">
        <f>HYPERLINK("http://gitlab.osmosys.co/talking-buddy/app", "app")</f>
        <v/>
      </c>
      <c r="F774">
        <f>HYPERLINK("http://gitlab.osmosys.co/talking-buddy/app/-/merge_requests/372", "update: Update Get Started screen")</f>
        <v/>
      </c>
      <c r="G774" t="inlineStr">
        <is>
          <t>update-get-started-screen</t>
        </is>
      </c>
      <c r="H774" t="inlineStr">
        <is>
          <t>dev</t>
        </is>
      </c>
      <c r="I774" t="inlineStr">
        <is>
          <t>merged</t>
        </is>
      </c>
      <c r="J774" t="inlineStr">
        <is>
          <t>d45a1afa8ef71036afec28e760124ebcd2a66607</t>
        </is>
      </c>
      <c r="K774">
        <f>HYPERLINK("http://gitlab.osmosys.co/talking-buddy/app/-/merge_requests/372#note_239784", "Don't change the app title, it is given wrong in the design.&lt;br&gt;
App name is always **talking-buddy**")</f>
        <v/>
      </c>
      <c r="L774" t="inlineStr">
        <is>
          <t>2025-07-22 10:44:59.861 IST</t>
        </is>
      </c>
      <c r="M774" t="inlineStr">
        <is>
          <t>Anand Prakash</t>
        </is>
      </c>
      <c r="N774" t="inlineStr">
        <is>
          <t>Yes</t>
        </is>
      </c>
      <c r="O774" t="inlineStr">
        <is>
          <t>Yes</t>
        </is>
      </c>
      <c r="P774" t="inlineStr">
        <is>
          <t>Palak Gupta</t>
        </is>
      </c>
      <c r="Q774" t="inlineStr">
        <is>
          <t>Bad</t>
        </is>
      </c>
    </row>
    <row r="775">
      <c r="A775" t="inlineStr">
        <is>
          <t>palak.g</t>
        </is>
      </c>
      <c r="B775" t="inlineStr">
        <is>
          <t>Palak Gupta</t>
        </is>
      </c>
      <c r="C775" t="inlineStr">
        <is>
          <t>palak.g@osmosys.co</t>
        </is>
      </c>
      <c r="D775" t="inlineStr">
        <is>
          <t>talking-buddy</t>
        </is>
      </c>
      <c r="E775">
        <f>HYPERLINK("http://gitlab.osmosys.co/talking-buddy/app", "app")</f>
        <v/>
      </c>
      <c r="F775">
        <f>HYPERLINK("http://gitlab.osmosys.co/talking-buddy/app/-/merge_requests/372", "update: Update Get Started screen")</f>
        <v/>
      </c>
      <c r="G775" t="inlineStr">
        <is>
          <t>update-get-started-screen</t>
        </is>
      </c>
      <c r="H775" t="inlineStr">
        <is>
          <t>dev</t>
        </is>
      </c>
      <c r="I775" t="inlineStr">
        <is>
          <t>merged</t>
        </is>
      </c>
      <c r="J775" t="inlineStr">
        <is>
          <t>d45a1afa8ef71036afec28e760124ebcd2a66607</t>
        </is>
      </c>
      <c r="K775">
        <f>HYPERLINK("http://gitlab.osmosys.co/talking-buddy/app/-/merge_requests/372#note_239900", "Done. Have also updated the screenshot.")</f>
        <v/>
      </c>
      <c r="L775" t="inlineStr">
        <is>
          <t>2025-07-22 11:29:23.512 IST</t>
        </is>
      </c>
      <c r="M775" t="inlineStr">
        <is>
          <t>Palak Gupta</t>
        </is>
      </c>
      <c r="N775" t="inlineStr">
        <is>
          <t>No</t>
        </is>
      </c>
      <c r="O775" t="inlineStr">
        <is>
          <t>Yes</t>
        </is>
      </c>
      <c r="P775" t="inlineStr">
        <is>
          <t>Palak Gupta</t>
        </is>
      </c>
      <c r="Q775" t="inlineStr">
        <is>
          <t>Bad</t>
        </is>
      </c>
    </row>
    <row r="776">
      <c r="A776" t="inlineStr">
        <is>
          <t>palak.g</t>
        </is>
      </c>
      <c r="B776" t="inlineStr">
        <is>
          <t>Palak Gupta</t>
        </is>
      </c>
      <c r="C776" t="inlineStr">
        <is>
          <t>palak.g@osmosys.co</t>
        </is>
      </c>
      <c r="D776" t="inlineStr">
        <is>
          <t>talking-buddy</t>
        </is>
      </c>
      <c r="E776">
        <f>HYPERLINK("http://gitlab.osmosys.co/talking-buddy/app", "app")</f>
        <v/>
      </c>
      <c r="F776">
        <f>HYPERLINK("http://gitlab.osmosys.co/talking-buddy/app/-/merge_requests/372", "update: Update Get Started screen")</f>
        <v/>
      </c>
      <c r="G776" t="inlineStr">
        <is>
          <t>update-get-started-screen</t>
        </is>
      </c>
      <c r="H776" t="inlineStr">
        <is>
          <t>dev</t>
        </is>
      </c>
      <c r="I776" t="inlineStr">
        <is>
          <t>merged</t>
        </is>
      </c>
      <c r="J776" t="inlineStr">
        <is>
          <t>beeee51a3568d550ff68eec2cbf8215d58ebaa0e</t>
        </is>
      </c>
      <c r="K776">
        <f>HYPERLINK("http://gitlab.osmosys.co/talking-buddy/app/-/merge_requests/372#note_239785", "name it as `primaryBlueColor`")</f>
        <v/>
      </c>
      <c r="L776" t="inlineStr">
        <is>
          <t>2025-07-22 10:44:59.942 IST</t>
        </is>
      </c>
      <c r="M776" t="inlineStr">
        <is>
          <t>Anand Prakash</t>
        </is>
      </c>
      <c r="N776" t="inlineStr">
        <is>
          <t>Yes</t>
        </is>
      </c>
      <c r="O776" t="inlineStr">
        <is>
          <t>Yes</t>
        </is>
      </c>
      <c r="P776" t="inlineStr">
        <is>
          <t>Palak Gupta</t>
        </is>
      </c>
      <c r="Q776" t="inlineStr">
        <is>
          <t>Bad</t>
        </is>
      </c>
    </row>
    <row r="777">
      <c r="A777" t="inlineStr">
        <is>
          <t>palak.g</t>
        </is>
      </c>
      <c r="B777" t="inlineStr">
        <is>
          <t>Palak Gupta</t>
        </is>
      </c>
      <c r="C777" t="inlineStr">
        <is>
          <t>palak.g@osmosys.co</t>
        </is>
      </c>
      <c r="D777" t="inlineStr">
        <is>
          <t>talking-buddy</t>
        </is>
      </c>
      <c r="E777">
        <f>HYPERLINK("http://gitlab.osmosys.co/talking-buddy/app", "app")</f>
        <v/>
      </c>
      <c r="F777">
        <f>HYPERLINK("http://gitlab.osmosys.co/talking-buddy/app/-/merge_requests/372", "update: Update Get Started screen")</f>
        <v/>
      </c>
      <c r="G777" t="inlineStr">
        <is>
          <t>update-get-started-screen</t>
        </is>
      </c>
      <c r="H777" t="inlineStr">
        <is>
          <t>dev</t>
        </is>
      </c>
      <c r="I777" t="inlineStr">
        <is>
          <t>merged</t>
        </is>
      </c>
      <c r="J777" t="inlineStr">
        <is>
          <t>beeee51a3568d550ff68eec2cbf8215d58ebaa0e</t>
        </is>
      </c>
      <c r="K777">
        <f>HYPERLINK("http://gitlab.osmosys.co/talking-buddy/app/-/merge_requests/372#note_239903", "Done")</f>
        <v/>
      </c>
      <c r="L777" t="inlineStr">
        <is>
          <t>2025-07-22 11:29:31.746 IST</t>
        </is>
      </c>
      <c r="M777" t="inlineStr">
        <is>
          <t>Palak Gupta</t>
        </is>
      </c>
      <c r="N777" t="inlineStr">
        <is>
          <t>No</t>
        </is>
      </c>
      <c r="O777" t="inlineStr">
        <is>
          <t>Yes</t>
        </is>
      </c>
      <c r="P777" t="inlineStr">
        <is>
          <t>Palak Gupta</t>
        </is>
      </c>
      <c r="Q777" t="inlineStr">
        <is>
          <t>Bad</t>
        </is>
      </c>
    </row>
    <row r="778">
      <c r="A778" t="inlineStr">
        <is>
          <t>palak.g</t>
        </is>
      </c>
      <c r="B778" t="inlineStr">
        <is>
          <t>Palak Gupta</t>
        </is>
      </c>
      <c r="C778" t="inlineStr">
        <is>
          <t>palak.g@osmosys.co</t>
        </is>
      </c>
      <c r="D778" t="inlineStr">
        <is>
          <t>talking-buddy</t>
        </is>
      </c>
      <c r="E778">
        <f>HYPERLINK("http://gitlab.osmosys.co/talking-buddy/app", "app")</f>
        <v/>
      </c>
      <c r="F778">
        <f>HYPERLINK("http://gitlab.osmosys.co/talking-buddy/app/-/merge_requests/372", "update: Update Get Started screen")</f>
        <v/>
      </c>
      <c r="G778" t="inlineStr">
        <is>
          <t>update-get-started-screen</t>
        </is>
      </c>
      <c r="H778" t="inlineStr">
        <is>
          <t>dev</t>
        </is>
      </c>
      <c r="I778" t="inlineStr">
        <is>
          <t>merged</t>
        </is>
      </c>
      <c r="J778" t="inlineStr">
        <is>
          <t>5cf9187d84bbdf1444c0a65645fcf4fa354e0595</t>
        </is>
      </c>
      <c r="K778">
        <f>HYPERLINK("http://gitlab.osmosys.co/talking-buddy/app/-/merge_requests/372#note_240102", "where this color is being used because the primary color should be the one shared in the branding list `0xFF1f6be5`.
Mistakenly I considered it as primary blue.")</f>
        <v/>
      </c>
      <c r="L778" t="inlineStr">
        <is>
          <t>2025-07-22 12:50:53.269 IST</t>
        </is>
      </c>
      <c r="M778" t="inlineStr">
        <is>
          <t>Anand Prakash</t>
        </is>
      </c>
      <c r="N778" t="inlineStr">
        <is>
          <t>Yes</t>
        </is>
      </c>
      <c r="O778" t="inlineStr">
        <is>
          <t>Yes</t>
        </is>
      </c>
      <c r="P778" t="inlineStr">
        <is>
          <t>Anand Prakash</t>
        </is>
      </c>
      <c r="Q778" t="inlineStr">
        <is>
          <t>Bad</t>
        </is>
      </c>
    </row>
    <row r="779">
      <c r="A779" t="inlineStr">
        <is>
          <t>palak.g</t>
        </is>
      </c>
      <c r="B779" t="inlineStr">
        <is>
          <t>Palak Gupta</t>
        </is>
      </c>
      <c r="C779" t="inlineStr">
        <is>
          <t>palak.g@osmosys.co</t>
        </is>
      </c>
      <c r="D779" t="inlineStr">
        <is>
          <t>talking-buddy</t>
        </is>
      </c>
      <c r="E779">
        <f>HYPERLINK("http://gitlab.osmosys.co/talking-buddy/app", "app")</f>
        <v/>
      </c>
      <c r="F779">
        <f>HYPERLINK("http://gitlab.osmosys.co/talking-buddy/app/-/merge_requests/372", "update: Update Get Started screen")</f>
        <v/>
      </c>
      <c r="G779" t="inlineStr">
        <is>
          <t>update-get-started-screen</t>
        </is>
      </c>
      <c r="H779" t="inlineStr">
        <is>
          <t>dev</t>
        </is>
      </c>
      <c r="I779" t="inlineStr">
        <is>
          <t>merged</t>
        </is>
      </c>
      <c r="J779" t="inlineStr">
        <is>
          <t>5cf9187d84bbdf1444c0a65645fcf4fa354e0595</t>
        </is>
      </c>
      <c r="K779">
        <f>HYPERLINK("http://gitlab.osmosys.co/talking-buddy/app/-/merge_requests/372#note_240161", "Its being used for setting the colour of "Get Started" text. You can check in the screenshot.")</f>
        <v/>
      </c>
      <c r="L779" t="inlineStr">
        <is>
          <t>2025-07-22 13:27:18.468 IST</t>
        </is>
      </c>
      <c r="M779" t="inlineStr">
        <is>
          <t>Palak Gupta</t>
        </is>
      </c>
      <c r="N779" t="inlineStr">
        <is>
          <t>No</t>
        </is>
      </c>
      <c r="O779" t="inlineStr">
        <is>
          <t>Yes</t>
        </is>
      </c>
      <c r="P779" t="inlineStr">
        <is>
          <t>Anand Prakash</t>
        </is>
      </c>
      <c r="Q779" t="inlineStr">
        <is>
          <t>Bad</t>
        </is>
      </c>
    </row>
    <row r="780">
      <c r="A780" t="inlineStr">
        <is>
          <t>palak.g</t>
        </is>
      </c>
      <c r="B780" t="inlineStr">
        <is>
          <t>Palak Gupta</t>
        </is>
      </c>
      <c r="C780" t="inlineStr">
        <is>
          <t>palak.g@osmosys.co</t>
        </is>
      </c>
      <c r="D780" t="inlineStr">
        <is>
          <t>talking-buddy</t>
        </is>
      </c>
      <c r="E780">
        <f>HYPERLINK("http://gitlab.osmosys.co/talking-buddy/app", "app")</f>
        <v/>
      </c>
      <c r="F780">
        <f>HYPERLINK("http://gitlab.osmosys.co/talking-buddy/app/-/merge_requests/372", "update: Update Get Started screen")</f>
        <v/>
      </c>
      <c r="G780" t="inlineStr">
        <is>
          <t>update-get-started-screen</t>
        </is>
      </c>
      <c r="H780" t="inlineStr">
        <is>
          <t>dev</t>
        </is>
      </c>
      <c r="I780" t="inlineStr">
        <is>
          <t>merged</t>
        </is>
      </c>
      <c r="J780" t="inlineStr">
        <is>
          <t>5cf9187d84bbdf1444c0a65645fcf4fa354e0595</t>
        </is>
      </c>
      <c r="K780">
        <f>HYPERLINK("http://gitlab.osmosys.co/talking-buddy/app/-/merge_requests/372#note_240304", "For **Get Started** use same flickr blue 1F6BE5 shared in file")</f>
        <v/>
      </c>
      <c r="L780" t="inlineStr">
        <is>
          <t>2025-07-22 16:12:15.756 IST</t>
        </is>
      </c>
      <c r="M780" t="inlineStr">
        <is>
          <t>Anand Prakash</t>
        </is>
      </c>
      <c r="N780" t="inlineStr">
        <is>
          <t>Yes</t>
        </is>
      </c>
      <c r="O780" t="inlineStr">
        <is>
          <t>Yes</t>
        </is>
      </c>
      <c r="P780" t="inlineStr">
        <is>
          <t>Anand Prakash</t>
        </is>
      </c>
      <c r="Q780" t="inlineStr">
        <is>
          <t>Bad</t>
        </is>
      </c>
    </row>
    <row r="781">
      <c r="A781" t="inlineStr">
        <is>
          <t>palak.g</t>
        </is>
      </c>
      <c r="B781" t="inlineStr">
        <is>
          <t>Palak Gupta</t>
        </is>
      </c>
      <c r="C781" t="inlineStr">
        <is>
          <t>palak.g@osmosys.co</t>
        </is>
      </c>
      <c r="D781" t="inlineStr">
        <is>
          <t>talking-buddy</t>
        </is>
      </c>
      <c r="E781">
        <f>HYPERLINK("http://gitlab.osmosys.co/talking-buddy/app", "app")</f>
        <v/>
      </c>
      <c r="F781">
        <f>HYPERLINK("http://gitlab.osmosys.co/talking-buddy/app/-/merge_requests/371", "feat: Add help and support section in the app")</f>
        <v/>
      </c>
      <c r="G781" t="inlineStr">
        <is>
          <t>add-help-and-support-section</t>
        </is>
      </c>
      <c r="H781" t="inlineStr">
        <is>
          <t>dev</t>
        </is>
      </c>
      <c r="I781" t="inlineStr">
        <is>
          <t>merged</t>
        </is>
      </c>
      <c r="J781" t="inlineStr">
        <is>
          <t>93220cb4bb7e19504e3774246bef5cd62fddd0fd</t>
        </is>
      </c>
      <c r="K781">
        <f>HYPERLINK("http://gitlab.osmosys.co/talking-buddy/app/-/merge_requests/371#note_238728", "Replace hardcoded strings and switch case with an enum + extension for better type safety and maintainability.")</f>
        <v/>
      </c>
      <c r="L781" t="inlineStr">
        <is>
          <t>2025-07-18 12:36:13.632 IST</t>
        </is>
      </c>
      <c r="M781" t="inlineStr">
        <is>
          <t>Anand Prakash</t>
        </is>
      </c>
      <c r="N781" t="inlineStr">
        <is>
          <t>Yes</t>
        </is>
      </c>
      <c r="O781" t="inlineStr">
        <is>
          <t>Yes</t>
        </is>
      </c>
      <c r="P781" t="inlineStr">
        <is>
          <t>Palak Gupta</t>
        </is>
      </c>
      <c r="Q781" t="inlineStr">
        <is>
          <t>Bad</t>
        </is>
      </c>
    </row>
    <row r="782">
      <c r="A782" t="inlineStr">
        <is>
          <t>palak.g</t>
        </is>
      </c>
      <c r="B782" t="inlineStr">
        <is>
          <t>Palak Gupta</t>
        </is>
      </c>
      <c r="C782" t="inlineStr">
        <is>
          <t>palak.g@osmosys.co</t>
        </is>
      </c>
      <c r="D782" t="inlineStr">
        <is>
          <t>talking-buddy</t>
        </is>
      </c>
      <c r="E782">
        <f>HYPERLINK("http://gitlab.osmosys.co/talking-buddy/app", "app")</f>
        <v/>
      </c>
      <c r="F782">
        <f>HYPERLINK("http://gitlab.osmosys.co/talking-buddy/app/-/merge_requests/371", "feat: Add help and support section in the app")</f>
        <v/>
      </c>
      <c r="G782" t="inlineStr">
        <is>
          <t>add-help-and-support-section</t>
        </is>
      </c>
      <c r="H782" t="inlineStr">
        <is>
          <t>dev</t>
        </is>
      </c>
      <c r="I782" t="inlineStr">
        <is>
          <t>merged</t>
        </is>
      </c>
      <c r="J782" t="inlineStr">
        <is>
          <t>93220cb4bb7e19504e3774246bef5cd62fddd0fd</t>
        </is>
      </c>
      <c r="K782">
        <f>HYPERLINK("http://gitlab.osmosys.co/talking-buddy/app/-/merge_requests/371#note_238834", "Done")</f>
        <v/>
      </c>
      <c r="L782" t="inlineStr">
        <is>
          <t>2025-07-18 15:14:26.622 IST</t>
        </is>
      </c>
      <c r="M782" t="inlineStr">
        <is>
          <t>Palak Gupta</t>
        </is>
      </c>
      <c r="N782" t="inlineStr">
        <is>
          <t>No</t>
        </is>
      </c>
      <c r="O782" t="inlineStr">
        <is>
          <t>Yes</t>
        </is>
      </c>
      <c r="P782" t="inlineStr">
        <is>
          <t>Palak Gupta</t>
        </is>
      </c>
      <c r="Q782" t="inlineStr">
        <is>
          <t>Bad</t>
        </is>
      </c>
    </row>
    <row r="783">
      <c r="A783" t="inlineStr">
        <is>
          <t>palak.g</t>
        </is>
      </c>
      <c r="B783" t="inlineStr">
        <is>
          <t>Palak Gupta</t>
        </is>
      </c>
      <c r="C783" t="inlineStr">
        <is>
          <t>palak.g@osmosys.co</t>
        </is>
      </c>
      <c r="D783" t="inlineStr">
        <is>
          <t>talking-buddy</t>
        </is>
      </c>
      <c r="E783">
        <f>HYPERLINK("http://gitlab.osmosys.co/talking-buddy/app", "app")</f>
        <v/>
      </c>
      <c r="F783">
        <f>HYPERLINK("http://gitlab.osmosys.co/talking-buddy/app/-/merge_requests/371", "feat: Add help and support section in the app")</f>
        <v/>
      </c>
      <c r="G783" t="inlineStr">
        <is>
          <t>add-help-and-support-section</t>
        </is>
      </c>
      <c r="H783" t="inlineStr">
        <is>
          <t>dev</t>
        </is>
      </c>
      <c r="I783" t="inlineStr">
        <is>
          <t>merged</t>
        </is>
      </c>
      <c r="J783" t="inlineStr">
        <is>
          <t>9b2a020f4c9b707fa168eb8e7e1a317333f11f34</t>
        </is>
      </c>
      <c r="K783">
        <f>HYPERLINK("http://gitlab.osmosys.co/talking-buddy/app/-/merge_requests/371#note_238729", "Avoid magic string, use it from English")</f>
        <v/>
      </c>
      <c r="L783" t="inlineStr">
        <is>
          <t>2025-07-18 12:36:13.730 IST</t>
        </is>
      </c>
      <c r="M783" t="inlineStr">
        <is>
          <t>Anand Prakash</t>
        </is>
      </c>
      <c r="N783" t="inlineStr">
        <is>
          <t>Yes</t>
        </is>
      </c>
      <c r="O783" t="inlineStr">
        <is>
          <t>Yes</t>
        </is>
      </c>
      <c r="P783" t="inlineStr">
        <is>
          <t>Palak Gupta</t>
        </is>
      </c>
      <c r="Q783" t="inlineStr">
        <is>
          <t>Bad</t>
        </is>
      </c>
    </row>
    <row r="784">
      <c r="A784" t="inlineStr">
        <is>
          <t>palak.g</t>
        </is>
      </c>
      <c r="B784" t="inlineStr">
        <is>
          <t>Palak Gupta</t>
        </is>
      </c>
      <c r="C784" t="inlineStr">
        <is>
          <t>palak.g@osmosys.co</t>
        </is>
      </c>
      <c r="D784" t="inlineStr">
        <is>
          <t>talking-buddy</t>
        </is>
      </c>
      <c r="E784">
        <f>HYPERLINK("http://gitlab.osmosys.co/talking-buddy/app", "app")</f>
        <v/>
      </c>
      <c r="F784">
        <f>HYPERLINK("http://gitlab.osmosys.co/talking-buddy/app/-/merge_requests/371", "feat: Add help and support section in the app")</f>
        <v/>
      </c>
      <c r="G784" t="inlineStr">
        <is>
          <t>add-help-and-support-section</t>
        </is>
      </c>
      <c r="H784" t="inlineStr">
        <is>
          <t>dev</t>
        </is>
      </c>
      <c r="I784" t="inlineStr">
        <is>
          <t>merged</t>
        </is>
      </c>
      <c r="J784" t="inlineStr">
        <is>
          <t>9b2a020f4c9b707fa168eb8e7e1a317333f11f34</t>
        </is>
      </c>
      <c r="K784">
        <f>HYPERLINK("http://gitlab.osmosys.co/talking-buddy/app/-/merge_requests/371#note_238794", "Done")</f>
        <v/>
      </c>
      <c r="L784" t="inlineStr">
        <is>
          <t>2025-07-18 14:01:58.879 IST</t>
        </is>
      </c>
      <c r="M784" t="inlineStr">
        <is>
          <t>Palak Gupta</t>
        </is>
      </c>
      <c r="N784" t="inlineStr">
        <is>
          <t>No</t>
        </is>
      </c>
      <c r="O784" t="inlineStr">
        <is>
          <t>Yes</t>
        </is>
      </c>
      <c r="P784" t="inlineStr">
        <is>
          <t>Palak Gupta</t>
        </is>
      </c>
      <c r="Q784" t="inlineStr">
        <is>
          <t>Bad</t>
        </is>
      </c>
    </row>
    <row r="785">
      <c r="A785" t="inlineStr">
        <is>
          <t>palak.g</t>
        </is>
      </c>
      <c r="B785" t="inlineStr">
        <is>
          <t>Palak Gupta</t>
        </is>
      </c>
      <c r="C785" t="inlineStr">
        <is>
          <t>palak.g@osmosys.co</t>
        </is>
      </c>
      <c r="D785" t="inlineStr">
        <is>
          <t>talking-buddy</t>
        </is>
      </c>
      <c r="E785">
        <f>HYPERLINK("http://gitlab.osmosys.co/talking-buddy/app", "app")</f>
        <v/>
      </c>
      <c r="F785">
        <f>HYPERLINK("http://gitlab.osmosys.co/talking-buddy/app/-/merge_requests/371", "feat: Add help and support section in the app")</f>
        <v/>
      </c>
      <c r="G785" t="inlineStr">
        <is>
          <t>add-help-and-support-section</t>
        </is>
      </c>
      <c r="H785" t="inlineStr">
        <is>
          <t>dev</t>
        </is>
      </c>
      <c r="I785" t="inlineStr">
        <is>
          <t>merged</t>
        </is>
      </c>
      <c r="J785" t="inlineStr">
        <is>
          <t>8750474b71dd5fd982a75bf0153e5f099100ae05</t>
        </is>
      </c>
      <c r="K785">
        <f>HYPERLINK("http://gitlab.osmosys.co/talking-buddy/app/-/merge_requests/371#note_238730", "what is this url for?")</f>
        <v/>
      </c>
      <c r="L785" t="inlineStr">
        <is>
          <t>2025-07-18 12:36:13.816 IST</t>
        </is>
      </c>
      <c r="M785" t="inlineStr">
        <is>
          <t>Anand Prakash</t>
        </is>
      </c>
      <c r="N785" t="inlineStr">
        <is>
          <t>Yes</t>
        </is>
      </c>
      <c r="O785" t="inlineStr">
        <is>
          <t>Yes</t>
        </is>
      </c>
      <c r="P785" t="inlineStr">
        <is>
          <t>Palak Gupta</t>
        </is>
      </c>
      <c r="Q785" t="inlineStr">
        <is>
          <t>Bad</t>
        </is>
      </c>
    </row>
    <row r="786">
      <c r="A786" t="inlineStr">
        <is>
          <t>palak.g</t>
        </is>
      </c>
      <c r="B786" t="inlineStr">
        <is>
          <t>Palak Gupta</t>
        </is>
      </c>
      <c r="C786" t="inlineStr">
        <is>
          <t>palak.g@osmosys.co</t>
        </is>
      </c>
      <c r="D786" t="inlineStr">
        <is>
          <t>talking-buddy</t>
        </is>
      </c>
      <c r="E786">
        <f>HYPERLINK("http://gitlab.osmosys.co/talking-buddy/app", "app")</f>
        <v/>
      </c>
      <c r="F786">
        <f>HYPERLINK("http://gitlab.osmosys.co/talking-buddy/app/-/merge_requests/371", "feat: Add help and support section in the app")</f>
        <v/>
      </c>
      <c r="G786" t="inlineStr">
        <is>
          <t>add-help-and-support-section</t>
        </is>
      </c>
      <c r="H786" t="inlineStr">
        <is>
          <t>dev</t>
        </is>
      </c>
      <c r="I786" t="inlineStr">
        <is>
          <t>merged</t>
        </is>
      </c>
      <c r="J786" t="inlineStr">
        <is>
          <t>8750474b71dd5fd982a75bf0153e5f099100ae05</t>
        </is>
      </c>
      <c r="K786">
        <f>HYPERLINK("http://gitlab.osmosys.co/talking-buddy/app/-/merge_requests/371#note_238738", "While navigating to support page requires userId as mentioned in task description, so userId has been fetched from user API in menu page and has been passed to support page via arguments.")</f>
        <v/>
      </c>
      <c r="L786" t="inlineStr">
        <is>
          <t>2025-07-18 12:43:03.803 IST</t>
        </is>
      </c>
      <c r="M786" t="inlineStr">
        <is>
          <t>Palak Gupta</t>
        </is>
      </c>
      <c r="N786" t="inlineStr">
        <is>
          <t>No</t>
        </is>
      </c>
      <c r="O786" t="inlineStr">
        <is>
          <t>Yes</t>
        </is>
      </c>
      <c r="P786" t="inlineStr">
        <is>
          <t>Palak Gupta</t>
        </is>
      </c>
      <c r="Q786" t="inlineStr">
        <is>
          <t>Bad</t>
        </is>
      </c>
    </row>
    <row r="787">
      <c r="A787" t="inlineStr">
        <is>
          <t>palak.g</t>
        </is>
      </c>
      <c r="B787" t="inlineStr">
        <is>
          <t>Palak Gupta</t>
        </is>
      </c>
      <c r="C787" t="inlineStr">
        <is>
          <t>palak.g@osmosys.co</t>
        </is>
      </c>
      <c r="D787" t="inlineStr">
        <is>
          <t>talking-buddy</t>
        </is>
      </c>
      <c r="E787">
        <f>HYPERLINK("http://gitlab.osmosys.co/talking-buddy/app", "app")</f>
        <v/>
      </c>
      <c r="F787">
        <f>HYPERLINK("http://gitlab.osmosys.co/talking-buddy/app/-/merge_requests/371", "feat: Add help and support section in the app")</f>
        <v/>
      </c>
      <c r="G787" t="inlineStr">
        <is>
          <t>add-help-and-support-section</t>
        </is>
      </c>
      <c r="H787" t="inlineStr">
        <is>
          <t>dev</t>
        </is>
      </c>
      <c r="I787" t="inlineStr">
        <is>
          <t>merged</t>
        </is>
      </c>
      <c r="J787" t="inlineStr">
        <is>
          <t>8750474b71dd5fd982a75bf0153e5f099100ae05</t>
        </is>
      </c>
      <c r="K787">
        <f>HYPERLINK("http://gitlab.osmosys.co/talking-buddy/app/-/merge_requests/371#note_238822", "Q1:Still not clear why this url is being added? &lt;br&gt;
Q2: Once user logged, the userid gets stored in preferences, Do you mean to make api call to get user id?&lt;br&gt;
Q3: What makes you mark this comment as resolved?")</f>
        <v/>
      </c>
      <c r="L787" t="inlineStr">
        <is>
          <t>2025-07-18 14:49:49.602 IST</t>
        </is>
      </c>
      <c r="M787" t="inlineStr">
        <is>
          <t>Anand Prakash</t>
        </is>
      </c>
      <c r="N787" t="inlineStr">
        <is>
          <t>Yes</t>
        </is>
      </c>
      <c r="O787" t="inlineStr">
        <is>
          <t>Yes</t>
        </is>
      </c>
      <c r="P787" t="inlineStr">
        <is>
          <t>Palak Gupta</t>
        </is>
      </c>
      <c r="Q787" t="inlineStr">
        <is>
          <t>Bad</t>
        </is>
      </c>
    </row>
    <row r="788">
      <c r="A788" t="inlineStr">
        <is>
          <t>palak.g</t>
        </is>
      </c>
      <c r="B788" t="inlineStr">
        <is>
          <t>Palak Gupta</t>
        </is>
      </c>
      <c r="C788" t="inlineStr">
        <is>
          <t>palak.g@osmosys.co</t>
        </is>
      </c>
      <c r="D788" t="inlineStr">
        <is>
          <t>talking-buddy</t>
        </is>
      </c>
      <c r="E788">
        <f>HYPERLINK("http://gitlab.osmosys.co/talking-buddy/app", "app")</f>
        <v/>
      </c>
      <c r="F788">
        <f>HYPERLINK("http://gitlab.osmosys.co/talking-buddy/app/-/merge_requests/371", "feat: Add help and support section in the app")</f>
        <v/>
      </c>
      <c r="G788" t="inlineStr">
        <is>
          <t>add-help-and-support-section</t>
        </is>
      </c>
      <c r="H788" t="inlineStr">
        <is>
          <t>dev</t>
        </is>
      </c>
      <c r="I788" t="inlineStr">
        <is>
          <t>merged</t>
        </is>
      </c>
      <c r="J788" t="inlineStr">
        <is>
          <t>8750474b71dd5fd982a75bf0153e5f099100ae05</t>
        </is>
      </c>
      <c r="K788">
        <f>HYPERLINK("http://gitlab.osmosys.co/talking-buddy/app/-/merge_requests/371#note_238839", "Apologies for the confusion. No API call has been made. UserId was already been fetched from shared preferences in menu page which has been passed to support page via arguments.")</f>
        <v/>
      </c>
      <c r="L788" t="inlineStr">
        <is>
          <t>2025-07-18 15:18:59.138 IST</t>
        </is>
      </c>
      <c r="M788" t="inlineStr">
        <is>
          <t>Palak Gupta</t>
        </is>
      </c>
      <c r="N788" t="inlineStr">
        <is>
          <t>No</t>
        </is>
      </c>
      <c r="O788" t="inlineStr">
        <is>
          <t>Yes</t>
        </is>
      </c>
      <c r="P788" t="inlineStr">
        <is>
          <t>Palak Gupta</t>
        </is>
      </c>
      <c r="Q788" t="inlineStr">
        <is>
          <t>Bad</t>
        </is>
      </c>
    </row>
    <row r="789">
      <c r="A789" t="inlineStr">
        <is>
          <t>palak.g</t>
        </is>
      </c>
      <c r="B789" t="inlineStr">
        <is>
          <t>Palak Gupta</t>
        </is>
      </c>
      <c r="C789" t="inlineStr">
        <is>
          <t>palak.g@osmosys.co</t>
        </is>
      </c>
      <c r="D789" t="inlineStr">
        <is>
          <t>talking-buddy</t>
        </is>
      </c>
      <c r="E789">
        <f>HYPERLINK("http://gitlab.osmosys.co/talking-buddy/app", "app")</f>
        <v/>
      </c>
      <c r="F789">
        <f>HYPERLINK("http://gitlab.osmosys.co/talking-buddy/app/-/merge_requests/371", "feat: Add help and support section in the app")</f>
        <v/>
      </c>
      <c r="G789" t="inlineStr">
        <is>
          <t>add-help-and-support-section</t>
        </is>
      </c>
      <c r="H789" t="inlineStr">
        <is>
          <t>dev</t>
        </is>
      </c>
      <c r="I789" t="inlineStr">
        <is>
          <t>merged</t>
        </is>
      </c>
      <c r="J789" t="inlineStr">
        <is>
          <t>8750474b71dd5fd982a75bf0153e5f099100ae05</t>
        </is>
      </c>
      <c r="K789">
        <f>HYPERLINK("http://gitlab.osmosys.co/talking-buddy/app/-/merge_requests/371#note_238868", "Kindly remove this url as no use")</f>
        <v/>
      </c>
      <c r="L789" t="inlineStr">
        <is>
          <t>2025-07-18 16:23:52.657 IST</t>
        </is>
      </c>
      <c r="M789" t="inlineStr">
        <is>
          <t>Anand Prakash</t>
        </is>
      </c>
      <c r="N789" t="inlineStr">
        <is>
          <t>Yes</t>
        </is>
      </c>
      <c r="O789" t="inlineStr">
        <is>
          <t>Yes</t>
        </is>
      </c>
      <c r="P789" t="inlineStr">
        <is>
          <t>Palak Gupta</t>
        </is>
      </c>
      <c r="Q789" t="inlineStr">
        <is>
          <t>Bad</t>
        </is>
      </c>
    </row>
    <row r="790">
      <c r="A790" t="inlineStr">
        <is>
          <t>palak.g</t>
        </is>
      </c>
      <c r="B790" t="inlineStr">
        <is>
          <t>Palak Gupta</t>
        </is>
      </c>
      <c r="C790" t="inlineStr">
        <is>
          <t>palak.g@osmosys.co</t>
        </is>
      </c>
      <c r="D790" t="inlineStr">
        <is>
          <t>talking-buddy</t>
        </is>
      </c>
      <c r="E790">
        <f>HYPERLINK("http://gitlab.osmosys.co/talking-buddy/app", "app")</f>
        <v/>
      </c>
      <c r="F790">
        <f>HYPERLINK("http://gitlab.osmosys.co/talking-buddy/app/-/merge_requests/371", "feat: Add help and support section in the app")</f>
        <v/>
      </c>
      <c r="G790" t="inlineStr">
        <is>
          <t>add-help-and-support-section</t>
        </is>
      </c>
      <c r="H790" t="inlineStr">
        <is>
          <t>dev</t>
        </is>
      </c>
      <c r="I790" t="inlineStr">
        <is>
          <t>merged</t>
        </is>
      </c>
      <c r="J790" t="inlineStr">
        <is>
          <t>8750474b71dd5fd982a75bf0153e5f099100ae05</t>
        </is>
      </c>
      <c r="K790">
        <f>HYPERLINK("http://gitlab.osmosys.co/talking-buddy/app/-/merge_requests/371#note_238888", "This url was added previously. I have removed that now.")</f>
        <v/>
      </c>
      <c r="L790" t="inlineStr">
        <is>
          <t>2025-07-18 16:44:04.148 IST</t>
        </is>
      </c>
      <c r="M790" t="inlineStr">
        <is>
          <t>Palak Gupta</t>
        </is>
      </c>
      <c r="N790" t="inlineStr">
        <is>
          <t>No</t>
        </is>
      </c>
      <c r="O790" t="inlineStr">
        <is>
          <t>Yes</t>
        </is>
      </c>
      <c r="P790" t="inlineStr">
        <is>
          <t>Palak Gupta</t>
        </is>
      </c>
      <c r="Q790" t="inlineStr">
        <is>
          <t>Bad</t>
        </is>
      </c>
    </row>
    <row r="791">
      <c r="A791" t="inlineStr">
        <is>
          <t>palak.g</t>
        </is>
      </c>
      <c r="B791" t="inlineStr">
        <is>
          <t>Palak Gupta</t>
        </is>
      </c>
      <c r="C791" t="inlineStr">
        <is>
          <t>palak.g@osmosys.co</t>
        </is>
      </c>
      <c r="D791" t="inlineStr">
        <is>
          <t>talking-buddy</t>
        </is>
      </c>
      <c r="E791">
        <f>HYPERLINK("http://gitlab.osmosys.co/talking-buddy/app", "app")</f>
        <v/>
      </c>
      <c r="F791">
        <f>HYPERLINK("http://gitlab.osmosys.co/talking-buddy/app/-/merge_requests/370", "feat: Add speaker button for calling")</f>
        <v/>
      </c>
      <c r="G791" t="inlineStr">
        <is>
          <t>add-speaker-button</t>
        </is>
      </c>
      <c r="H791" t="inlineStr">
        <is>
          <t>dev</t>
        </is>
      </c>
      <c r="I791" t="inlineStr">
        <is>
          <t>merged</t>
        </is>
      </c>
      <c r="J791" t="inlineStr"/>
      <c r="K791" t="inlineStr"/>
      <c r="L791" t="inlineStr"/>
      <c r="M791" t="inlineStr"/>
      <c r="N791" t="inlineStr"/>
      <c r="O791" t="inlineStr"/>
      <c r="P791" t="inlineStr"/>
      <c r="Q791" t="inlineStr"/>
    </row>
    <row r="792">
      <c r="A792" t="inlineStr">
        <is>
          <t>palak.g</t>
        </is>
      </c>
      <c r="B792" t="inlineStr">
        <is>
          <t>Palak Gupta</t>
        </is>
      </c>
      <c r="C792" t="inlineStr">
        <is>
          <t>palak.g@osmosys.co</t>
        </is>
      </c>
      <c r="D792" t="inlineStr">
        <is>
          <t>talking-buddy</t>
        </is>
      </c>
      <c r="E792">
        <f>HYPERLINK("http://gitlab.osmosys.co/talking-buddy/app", "app")</f>
        <v/>
      </c>
      <c r="F792">
        <f>HYPERLINK("http://gitlab.osmosys.co/talking-buddy/app/-/merge_requests/367", "feat: Integrate callkeep for foreground and background states")</f>
        <v/>
      </c>
      <c r="G792" t="inlineStr">
        <is>
          <t>callkeep-integration-for-foreground-and-background-states</t>
        </is>
      </c>
      <c r="H792" t="inlineStr">
        <is>
          <t>feature/call-enhancement-callkeep</t>
        </is>
      </c>
      <c r="I792" t="inlineStr">
        <is>
          <t>opened</t>
        </is>
      </c>
      <c r="J792" t="inlineStr"/>
      <c r="K792" t="inlineStr"/>
      <c r="L792" t="inlineStr"/>
      <c r="M792" t="inlineStr"/>
      <c r="N792" t="inlineStr"/>
      <c r="O792" t="inlineStr"/>
      <c r="P792" t="inlineStr"/>
      <c r="Q792" t="inlineStr"/>
    </row>
    <row r="793">
      <c r="A793" t="inlineStr">
        <is>
          <t>palak.g</t>
        </is>
      </c>
      <c r="B793" t="inlineStr">
        <is>
          <t>Palak Gupta</t>
        </is>
      </c>
      <c r="C793" t="inlineStr">
        <is>
          <t>palak.g@osmosys.co</t>
        </is>
      </c>
      <c r="D793" t="inlineStr">
        <is>
          <t>talking-buddy</t>
        </is>
      </c>
      <c r="E793">
        <f>HYPERLINK("http://gitlab.osmosys.co/talking-buddy/app", "app")</f>
        <v/>
      </c>
      <c r="F793">
        <f>HYPERLINK("http://gitlab.osmosys.co/talking-buddy/app/-/merge_requests/366", "feat: Add actions for accepting and rejecting call")</f>
        <v/>
      </c>
      <c r="G793" t="inlineStr">
        <is>
          <t>add-call-accept-and-reject-actions</t>
        </is>
      </c>
      <c r="H793" t="inlineStr">
        <is>
          <t>feature/call-enhancement-callkeep</t>
        </is>
      </c>
      <c r="I793" t="inlineStr">
        <is>
          <t>merged</t>
        </is>
      </c>
      <c r="J793" t="inlineStr"/>
      <c r="K793" t="inlineStr"/>
      <c r="L793" t="inlineStr"/>
      <c r="M793" t="inlineStr"/>
      <c r="N793" t="inlineStr"/>
      <c r="O793" t="inlineStr"/>
      <c r="P793" t="inlineStr"/>
      <c r="Q793" t="inlineStr"/>
    </row>
    <row r="794">
      <c r="A794" t="inlineStr">
        <is>
          <t>palak.g</t>
        </is>
      </c>
      <c r="B794" t="inlineStr">
        <is>
          <t>Palak Gupta</t>
        </is>
      </c>
      <c r="C794" t="inlineStr">
        <is>
          <t>palak.g@osmosys.co</t>
        </is>
      </c>
      <c r="D794" t="inlineStr">
        <is>
          <t>talking-buddy</t>
        </is>
      </c>
      <c r="E794">
        <f>HYPERLINK("http://gitlab.osmosys.co/talking-buddy/app", "app")</f>
        <v/>
      </c>
      <c r="F794">
        <f>HYPERLINK("http://gitlab.osmosys.co/talking-buddy/app/-/merge_requests/365", "feat: Integrate callkeep package")</f>
        <v/>
      </c>
      <c r="G794" t="inlineStr">
        <is>
          <t>callkeep-initial-setup</t>
        </is>
      </c>
      <c r="H794" t="inlineStr">
        <is>
          <t>feature/call-enhancement-callkeep</t>
        </is>
      </c>
      <c r="I794" t="inlineStr">
        <is>
          <t>closed</t>
        </is>
      </c>
      <c r="J794" t="inlineStr"/>
      <c r="K794" t="inlineStr"/>
      <c r="L794" t="inlineStr"/>
      <c r="M794" t="inlineStr"/>
      <c r="N794" t="inlineStr"/>
      <c r="O794" t="inlineStr"/>
      <c r="P794" t="inlineStr"/>
      <c r="Q794" t="inlineStr"/>
    </row>
    <row r="795">
      <c r="A795" t="inlineStr">
        <is>
          <t>palak.g</t>
        </is>
      </c>
      <c r="B795" t="inlineStr">
        <is>
          <t>Palak Gupta</t>
        </is>
      </c>
      <c r="C795" t="inlineStr">
        <is>
          <t>palak.g@osmosys.co</t>
        </is>
      </c>
      <c r="D795" t="inlineStr">
        <is>
          <t>talking-buddy</t>
        </is>
      </c>
      <c r="E795">
        <f>HYPERLINK("http://gitlab.osmosys.co/talking-buddy/app", "app")</f>
        <v/>
      </c>
      <c r="F795">
        <f>HYPERLINK("http://gitlab.osmosys.co/talking-buddy/app/-/merge_requests/364", "feat: Initialize flutter_incoming_callkit package on receiving notifications")</f>
        <v/>
      </c>
      <c r="G795" t="inlineStr">
        <is>
          <t>integrate-flutter-callkit-incoming-package</t>
        </is>
      </c>
      <c r="H795" t="inlineStr">
        <is>
          <t>feature/call-enhancement-callkeep</t>
        </is>
      </c>
      <c r="I795" t="inlineStr">
        <is>
          <t>merged</t>
        </is>
      </c>
      <c r="J795" t="inlineStr">
        <is>
          <t>540683d14e556122c92d02c65e08dad1d0a8d4b1</t>
        </is>
      </c>
      <c r="K795">
        <f>HYPERLINK("http://gitlab.osmosys.co/talking-buddy/app/-/merge_requests/364#note_235016", "I should take and argument, the caller name and call id.")</f>
        <v/>
      </c>
      <c r="L795" t="inlineStr">
        <is>
          <t>2025-07-11 11:35:26.372 IST</t>
        </is>
      </c>
      <c r="M795" t="inlineStr">
        <is>
          <t>Anand Prakash</t>
        </is>
      </c>
      <c r="N795" t="inlineStr">
        <is>
          <t>Yes</t>
        </is>
      </c>
      <c r="O795" t="inlineStr">
        <is>
          <t>Yes</t>
        </is>
      </c>
      <c r="P795" t="inlineStr">
        <is>
          <t>Palak Gupta</t>
        </is>
      </c>
      <c r="Q795" t="inlineStr">
        <is>
          <t>Bad</t>
        </is>
      </c>
    </row>
    <row r="796">
      <c r="A796" t="inlineStr">
        <is>
          <t>palak.g</t>
        </is>
      </c>
      <c r="B796" t="inlineStr">
        <is>
          <t>Palak Gupta</t>
        </is>
      </c>
      <c r="C796" t="inlineStr">
        <is>
          <t>palak.g@osmosys.co</t>
        </is>
      </c>
      <c r="D796" t="inlineStr">
        <is>
          <t>talking-buddy</t>
        </is>
      </c>
      <c r="E796">
        <f>HYPERLINK("http://gitlab.osmosys.co/talking-buddy/app", "app")</f>
        <v/>
      </c>
      <c r="F796">
        <f>HYPERLINK("http://gitlab.osmosys.co/talking-buddy/app/-/merge_requests/364", "feat: Initialize flutter_incoming_callkit package on receiving notifications")</f>
        <v/>
      </c>
      <c r="G796" t="inlineStr">
        <is>
          <t>integrate-flutter-callkit-incoming-package</t>
        </is>
      </c>
      <c r="H796" t="inlineStr">
        <is>
          <t>feature/call-enhancement-callkeep</t>
        </is>
      </c>
      <c r="I796" t="inlineStr">
        <is>
          <t>merged</t>
        </is>
      </c>
      <c r="J796" t="inlineStr">
        <is>
          <t>540683d14e556122c92d02c65e08dad1d0a8d4b1</t>
        </is>
      </c>
      <c r="K796">
        <f>HYPERLINK("http://gitlab.osmosys.co/talking-buddy/app/-/merge_requests/364#note_235072", "Done")</f>
        <v/>
      </c>
      <c r="L796" t="inlineStr">
        <is>
          <t>2025-07-11 12:27:07.696 IST</t>
        </is>
      </c>
      <c r="M796" t="inlineStr">
        <is>
          <t>Palak Gupta</t>
        </is>
      </c>
      <c r="N796" t="inlineStr">
        <is>
          <t>No</t>
        </is>
      </c>
      <c r="O796" t="inlineStr">
        <is>
          <t>Yes</t>
        </is>
      </c>
      <c r="P796" t="inlineStr">
        <is>
          <t>Palak Gupta</t>
        </is>
      </c>
      <c r="Q796" t="inlineStr">
        <is>
          <t>Bad</t>
        </is>
      </c>
    </row>
    <row r="797">
      <c r="A797" t="inlineStr">
        <is>
          <t>palak.g</t>
        </is>
      </c>
      <c r="B797" t="inlineStr">
        <is>
          <t>Palak Gupta</t>
        </is>
      </c>
      <c r="C797" t="inlineStr">
        <is>
          <t>palak.g@osmosys.co</t>
        </is>
      </c>
      <c r="D797" t="inlineStr">
        <is>
          <t>talking-buddy</t>
        </is>
      </c>
      <c r="E797">
        <f>HYPERLINK("http://gitlab.osmosys.co/talking-buddy/app", "app")</f>
        <v/>
      </c>
      <c r="F797">
        <f>HYPERLINK("http://gitlab.osmosys.co/talking-buddy/app/-/merge_requests/364", "feat: Initialize flutter_incoming_callkit package on receiving notifications")</f>
        <v/>
      </c>
      <c r="G797" t="inlineStr">
        <is>
          <t>integrate-flutter-callkit-incoming-package</t>
        </is>
      </c>
      <c r="H797" t="inlineStr">
        <is>
          <t>feature/call-enhancement-callkeep</t>
        </is>
      </c>
      <c r="I797" t="inlineStr">
        <is>
          <t>merged</t>
        </is>
      </c>
      <c r="J797" t="inlineStr">
        <is>
          <t>039c7e6ec3b50c65885cf841869372e9281fb5e9</t>
        </is>
      </c>
      <c r="K797">
        <f>HYPERLINK("http://gitlab.osmosys.co/talking-buddy/app/-/merge_requests/364#note_235017", "I dont see any other param added here for ios, should be added all required param")</f>
        <v/>
      </c>
      <c r="L797" t="inlineStr">
        <is>
          <t>2025-07-11 11:35:26.444 IST</t>
        </is>
      </c>
      <c r="M797" t="inlineStr">
        <is>
          <t>Anand Prakash</t>
        </is>
      </c>
      <c r="N797" t="inlineStr">
        <is>
          <t>Yes</t>
        </is>
      </c>
      <c r="O797" t="inlineStr">
        <is>
          <t>Yes</t>
        </is>
      </c>
      <c r="P797" t="inlineStr">
        <is>
          <t>Palak Gupta</t>
        </is>
      </c>
      <c r="Q797" t="inlineStr">
        <is>
          <t>Bad</t>
        </is>
      </c>
    </row>
    <row r="798">
      <c r="A798" t="inlineStr">
        <is>
          <t>palak.g</t>
        </is>
      </c>
      <c r="B798" t="inlineStr">
        <is>
          <t>Palak Gupta</t>
        </is>
      </c>
      <c r="C798" t="inlineStr">
        <is>
          <t>palak.g@osmosys.co</t>
        </is>
      </c>
      <c r="D798" t="inlineStr">
        <is>
          <t>talking-buddy</t>
        </is>
      </c>
      <c r="E798">
        <f>HYPERLINK("http://gitlab.osmosys.co/talking-buddy/app", "app")</f>
        <v/>
      </c>
      <c r="F798">
        <f>HYPERLINK("http://gitlab.osmosys.co/talking-buddy/app/-/merge_requests/364", "feat: Initialize flutter_incoming_callkit package on receiving notifications")</f>
        <v/>
      </c>
      <c r="G798" t="inlineStr">
        <is>
          <t>integrate-flutter-callkit-incoming-package</t>
        </is>
      </c>
      <c r="H798" t="inlineStr">
        <is>
          <t>feature/call-enhancement-callkeep</t>
        </is>
      </c>
      <c r="I798" t="inlineStr">
        <is>
          <t>merged</t>
        </is>
      </c>
      <c r="J798" t="inlineStr">
        <is>
          <t>039c7e6ec3b50c65885cf841869372e9281fb5e9</t>
        </is>
      </c>
      <c r="K798">
        <f>HYPERLINK("http://gitlab.osmosys.co/talking-buddy/app/-/merge_requests/364#note_235055", "All required params are added now")</f>
        <v/>
      </c>
      <c r="L798" t="inlineStr">
        <is>
          <t>2025-07-11 12:18:17.425 IST</t>
        </is>
      </c>
      <c r="M798" t="inlineStr">
        <is>
          <t>Palak Gupta</t>
        </is>
      </c>
      <c r="N798" t="inlineStr">
        <is>
          <t>No</t>
        </is>
      </c>
      <c r="O798" t="inlineStr">
        <is>
          <t>Yes</t>
        </is>
      </c>
      <c r="P798" t="inlineStr">
        <is>
          <t>Palak Gupta</t>
        </is>
      </c>
      <c r="Q798" t="inlineStr">
        <is>
          <t>Bad</t>
        </is>
      </c>
    </row>
    <row r="799">
      <c r="A799" t="inlineStr">
        <is>
          <t>palak.g</t>
        </is>
      </c>
      <c r="B799" t="inlineStr">
        <is>
          <t>Palak Gupta</t>
        </is>
      </c>
      <c r="C799" t="inlineStr">
        <is>
          <t>palak.g@osmosys.co</t>
        </is>
      </c>
      <c r="D799" t="inlineStr">
        <is>
          <t>talking-buddy</t>
        </is>
      </c>
      <c r="E799">
        <f>HYPERLINK("http://gitlab.osmosys.co/talking-buddy/app", "app")</f>
        <v/>
      </c>
      <c r="F799">
        <f>HYPERLINK("http://gitlab.osmosys.co/talking-buddy/app/-/merge_requests/363", "feat: flutter_callkit_incoming package initial setup")</f>
        <v/>
      </c>
      <c r="G799" t="inlineStr">
        <is>
          <t>callkit-package-initial-setup</t>
        </is>
      </c>
      <c r="H799" t="inlineStr">
        <is>
          <t>feature/call-enhancement-callkeep</t>
        </is>
      </c>
      <c r="I799" t="inlineStr">
        <is>
          <t>merged</t>
        </is>
      </c>
      <c r="J799" t="inlineStr">
        <is>
          <t>84d5fc48034f57cba003ff1111871f4af9853a3e</t>
        </is>
      </c>
      <c r="K799">
        <f>HYPERLINK("http://gitlab.osmosys.co/talking-buddy/app/-/merge_requests/363#note_233663", "@palak.g  Kindly remove the hardcoded string")</f>
        <v/>
      </c>
      <c r="L799" t="inlineStr">
        <is>
          <t>2025-07-09 16:58:44.771 IST</t>
        </is>
      </c>
      <c r="M799" t="inlineStr">
        <is>
          <t>Anand Prakash</t>
        </is>
      </c>
      <c r="N799" t="inlineStr">
        <is>
          <t>Yes</t>
        </is>
      </c>
      <c r="O799" t="inlineStr">
        <is>
          <t>Yes</t>
        </is>
      </c>
      <c r="P799" t="inlineStr">
        <is>
          <t>Palak Gupta</t>
        </is>
      </c>
      <c r="Q799" t="inlineStr">
        <is>
          <t>Neutral</t>
        </is>
      </c>
    </row>
    <row r="800">
      <c r="A800" t="inlineStr">
        <is>
          <t>palak.g</t>
        </is>
      </c>
      <c r="B800" t="inlineStr">
        <is>
          <t>Palak Gupta</t>
        </is>
      </c>
      <c r="C800" t="inlineStr">
        <is>
          <t>palak.g@osmosys.co</t>
        </is>
      </c>
      <c r="D800" t="inlineStr">
        <is>
          <t>talking-buddy</t>
        </is>
      </c>
      <c r="E800">
        <f>HYPERLINK("http://gitlab.osmosys.co/talking-buddy/app", "app")</f>
        <v/>
      </c>
      <c r="F800">
        <f>HYPERLINK("http://gitlab.osmosys.co/talking-buddy/app/-/merge_requests/363", "feat: flutter_callkit_incoming package initial setup")</f>
        <v/>
      </c>
      <c r="G800" t="inlineStr">
        <is>
          <t>callkit-package-initial-setup</t>
        </is>
      </c>
      <c r="H800" t="inlineStr">
        <is>
          <t>feature/call-enhancement-callkeep</t>
        </is>
      </c>
      <c r="I800" t="inlineStr">
        <is>
          <t>merged</t>
        </is>
      </c>
      <c r="J800" t="inlineStr">
        <is>
          <t>84d5fc48034f57cba003ff1111871f4af9853a3e</t>
        </is>
      </c>
      <c r="K800">
        <f>HYPERLINK("http://gitlab.osmosys.co/talking-buddy/app/-/merge_requests/363#note_233691", "Have added the hardcoded string (for callers name) for demo purpose. It will be removed later.")</f>
        <v/>
      </c>
      <c r="L800" t="inlineStr">
        <is>
          <t>2025-07-09 17:25:17.357 IST</t>
        </is>
      </c>
      <c r="M800" t="inlineStr">
        <is>
          <t>Palak Gupta</t>
        </is>
      </c>
      <c r="N800" t="inlineStr">
        <is>
          <t>No</t>
        </is>
      </c>
      <c r="O800" t="inlineStr">
        <is>
          <t>Yes</t>
        </is>
      </c>
      <c r="P800" t="inlineStr">
        <is>
          <t>Palak Gupta</t>
        </is>
      </c>
      <c r="Q800" t="inlineStr">
        <is>
          <t>Neutral</t>
        </is>
      </c>
    </row>
    <row r="801">
      <c r="A801" t="inlineStr">
        <is>
          <t>palak.g</t>
        </is>
      </c>
      <c r="B801" t="inlineStr">
        <is>
          <t>Palak Gupta</t>
        </is>
      </c>
      <c r="C801" t="inlineStr">
        <is>
          <t>palak.g@osmosys.co</t>
        </is>
      </c>
      <c r="D801" t="inlineStr">
        <is>
          <t>talking-buddy</t>
        </is>
      </c>
      <c r="E801">
        <f>HYPERLINK("http://gitlab.osmosys.co/talking-buddy/app", "app")</f>
        <v/>
      </c>
      <c r="F801">
        <f>HYPERLINK("http://gitlab.osmosys.co/talking-buddy/app/-/merge_requests/363", "feat: flutter_callkit_incoming package initial setup")</f>
        <v/>
      </c>
      <c r="G801" t="inlineStr">
        <is>
          <t>callkit-package-initial-setup</t>
        </is>
      </c>
      <c r="H801" t="inlineStr">
        <is>
          <t>feature/call-enhancement-callkeep</t>
        </is>
      </c>
      <c r="I801" t="inlineStr">
        <is>
          <t>merged</t>
        </is>
      </c>
      <c r="J801" t="inlineStr">
        <is>
          <t>1666bc1847cc93007426f173b5e411f2f9f39550</t>
        </is>
      </c>
      <c r="K801">
        <f>HYPERLINK("http://gitlab.osmosys.co/talking-buddy/app/-/merge_requests/363#note_233688", "remove the the hardcoded text and use from constant file")</f>
        <v/>
      </c>
      <c r="L801" t="inlineStr">
        <is>
          <t>2025-07-09 17:24:15.740 IST</t>
        </is>
      </c>
      <c r="M801" t="inlineStr">
        <is>
          <t>Anand Prakash</t>
        </is>
      </c>
      <c r="N801" t="inlineStr">
        <is>
          <t>Yes</t>
        </is>
      </c>
      <c r="O801" t="inlineStr">
        <is>
          <t>Yes</t>
        </is>
      </c>
      <c r="P801" t="inlineStr">
        <is>
          <t>Palak Gupta</t>
        </is>
      </c>
      <c r="Q801" t="inlineStr">
        <is>
          <t>Neutral</t>
        </is>
      </c>
    </row>
    <row r="802">
      <c r="A802" t="inlineStr">
        <is>
          <t>palak.g</t>
        </is>
      </c>
      <c r="B802" t="inlineStr">
        <is>
          <t>Palak Gupta</t>
        </is>
      </c>
      <c r="C802" t="inlineStr">
        <is>
          <t>palak.g@osmosys.co</t>
        </is>
      </c>
      <c r="D802" t="inlineStr">
        <is>
          <t>talking-buddy</t>
        </is>
      </c>
      <c r="E802">
        <f>HYPERLINK("http://gitlab.osmosys.co/talking-buddy/app", "app")</f>
        <v/>
      </c>
      <c r="F802">
        <f>HYPERLINK("http://gitlab.osmosys.co/talking-buddy/app/-/merge_requests/363", "feat: flutter_callkit_incoming package initial setup")</f>
        <v/>
      </c>
      <c r="G802" t="inlineStr">
        <is>
          <t>callkit-package-initial-setup</t>
        </is>
      </c>
      <c r="H802" t="inlineStr">
        <is>
          <t>feature/call-enhancement-callkeep</t>
        </is>
      </c>
      <c r="I802" t="inlineStr">
        <is>
          <t>merged</t>
        </is>
      </c>
      <c r="J802" t="inlineStr">
        <is>
          <t>1666bc1847cc93007426f173b5e411f2f9f39550</t>
        </is>
      </c>
      <c r="K802">
        <f>HYPERLINK("http://gitlab.osmosys.co/talking-buddy/app/-/merge_requests/363#note_233693", "There is no variable for callers name in constant file as it will be based on whoever is making the call. Hardcoded data is for demo purpose and will be removed later.")</f>
        <v/>
      </c>
      <c r="L802" t="inlineStr">
        <is>
          <t>2025-07-09 17:27:08.743 IST</t>
        </is>
      </c>
      <c r="M802" t="inlineStr">
        <is>
          <t>Palak Gupta</t>
        </is>
      </c>
      <c r="N802" t="inlineStr">
        <is>
          <t>No</t>
        </is>
      </c>
      <c r="O802" t="inlineStr">
        <is>
          <t>Yes</t>
        </is>
      </c>
      <c r="P802" t="inlineStr">
        <is>
          <t>Palak Gupta</t>
        </is>
      </c>
      <c r="Q802" t="inlineStr">
        <is>
          <t>Neutral</t>
        </is>
      </c>
    </row>
    <row r="803">
      <c r="A803" t="inlineStr">
        <is>
          <t>palak.g</t>
        </is>
      </c>
      <c r="B803" t="inlineStr">
        <is>
          <t>Palak Gupta</t>
        </is>
      </c>
      <c r="C803" t="inlineStr">
        <is>
          <t>palak.g@osmosys.co</t>
        </is>
      </c>
      <c r="D803" t="inlineStr">
        <is>
          <t>talking-buddy</t>
        </is>
      </c>
      <c r="E803">
        <f>HYPERLINK("http://gitlab.osmosys.co/talking-buddy/app", "app")</f>
        <v/>
      </c>
      <c r="F803">
        <f>HYPERLINK("http://gitlab.osmosys.co/talking-buddy/app/-/merge_requests/363", "feat: flutter_callkit_incoming package initial setup")</f>
        <v/>
      </c>
      <c r="G803" t="inlineStr">
        <is>
          <t>callkit-package-initial-setup</t>
        </is>
      </c>
      <c r="H803" t="inlineStr">
        <is>
          <t>feature/call-enhancement-callkeep</t>
        </is>
      </c>
      <c r="I803" t="inlineStr">
        <is>
          <t>merged</t>
        </is>
      </c>
      <c r="J803" t="inlineStr">
        <is>
          <t>e075bcffa62facff592a7a2b2ff2ee08d483e9a1</t>
        </is>
      </c>
      <c r="K803">
        <f>HYPERLINK("http://gitlab.osmosys.co/talking-buddy/app/-/merge_requests/363#note_233689", "avid harcode here")</f>
        <v/>
      </c>
      <c r="L803" t="inlineStr">
        <is>
          <t>2025-07-09 17:24:15.809 IST</t>
        </is>
      </c>
      <c r="M803" t="inlineStr">
        <is>
          <t>Anand Prakash</t>
        </is>
      </c>
      <c r="N803" t="inlineStr">
        <is>
          <t>Yes</t>
        </is>
      </c>
      <c r="O803" t="inlineStr">
        <is>
          <t>Yes</t>
        </is>
      </c>
      <c r="P803" t="inlineStr">
        <is>
          <t>Palak Gupta</t>
        </is>
      </c>
      <c r="Q803" t="inlineStr">
        <is>
          <t>Neutral</t>
        </is>
      </c>
    </row>
    <row r="804">
      <c r="A804" t="inlineStr">
        <is>
          <t>palak.g</t>
        </is>
      </c>
      <c r="B804" t="inlineStr">
        <is>
          <t>Palak Gupta</t>
        </is>
      </c>
      <c r="C804" t="inlineStr">
        <is>
          <t>palak.g@osmosys.co</t>
        </is>
      </c>
      <c r="D804" t="inlineStr">
        <is>
          <t>talking-buddy</t>
        </is>
      </c>
      <c r="E804">
        <f>HYPERLINK("http://gitlab.osmosys.co/talking-buddy/app", "app")</f>
        <v/>
      </c>
      <c r="F804">
        <f>HYPERLINK("http://gitlab.osmosys.co/talking-buddy/app/-/merge_requests/363", "feat: flutter_callkit_incoming package initial setup")</f>
        <v/>
      </c>
      <c r="G804" t="inlineStr">
        <is>
          <t>callkit-package-initial-setup</t>
        </is>
      </c>
      <c r="H804" t="inlineStr">
        <is>
          <t>feature/call-enhancement-callkeep</t>
        </is>
      </c>
      <c r="I804" t="inlineStr">
        <is>
          <t>merged</t>
        </is>
      </c>
      <c r="J804" t="inlineStr">
        <is>
          <t>e075bcffa62facff592a7a2b2ff2ee08d483e9a1</t>
        </is>
      </c>
      <c r="K804">
        <f>HYPERLINK("http://gitlab.osmosys.co/talking-buddy/app/-/merge_requests/363#note_233694", "This hardcoded data is for demo purpose and will be removed later.")</f>
        <v/>
      </c>
      <c r="L804" t="inlineStr">
        <is>
          <t>2025-07-09 17:28:10.870 IST</t>
        </is>
      </c>
      <c r="M804" t="inlineStr">
        <is>
          <t>Palak Gupta</t>
        </is>
      </c>
      <c r="N804" t="inlineStr">
        <is>
          <t>No</t>
        </is>
      </c>
      <c r="O804" t="inlineStr">
        <is>
          <t>Yes</t>
        </is>
      </c>
      <c r="P804" t="inlineStr">
        <is>
          <t>Palak Gupta</t>
        </is>
      </c>
      <c r="Q804" t="inlineStr">
        <is>
          <t>Neutral</t>
        </is>
      </c>
    </row>
    <row r="805">
      <c r="A805" t="inlineStr">
        <is>
          <t>palak.g</t>
        </is>
      </c>
      <c r="B805" t="inlineStr">
        <is>
          <t>Palak Gupta</t>
        </is>
      </c>
      <c r="C805" t="inlineStr">
        <is>
          <t>palak.g@osmosys.co</t>
        </is>
      </c>
      <c r="D805" t="inlineStr">
        <is>
          <t>talking-buddy</t>
        </is>
      </c>
      <c r="E805">
        <f>HYPERLINK("http://gitlab.osmosys.co/talking-buddy/app", "app")</f>
        <v/>
      </c>
      <c r="F805">
        <f>HYPERLINK("http://gitlab.osmosys.co/talking-buddy/app/-/merge_requests/362", "feat: flutter_callkit_incoming package initial setup")</f>
        <v/>
      </c>
      <c r="G805" t="inlineStr">
        <is>
          <t>callkit-initial-setup</t>
        </is>
      </c>
      <c r="H805" t="inlineStr">
        <is>
          <t>feature/call-enhancement-callkeep</t>
        </is>
      </c>
      <c r="I805" t="inlineStr">
        <is>
          <t>closed</t>
        </is>
      </c>
      <c r="J805" t="inlineStr"/>
      <c r="K805" t="inlineStr"/>
      <c r="L805" t="inlineStr"/>
      <c r="M805" t="inlineStr"/>
      <c r="N805" t="inlineStr"/>
      <c r="O805" t="inlineStr"/>
      <c r="P805" t="inlineStr"/>
      <c r="Q805" t="inlineStr"/>
    </row>
    <row r="806">
      <c r="A806" t="inlineStr">
        <is>
          <t>palak.g</t>
        </is>
      </c>
      <c r="B806" t="inlineStr">
        <is>
          <t>Palak Gupta</t>
        </is>
      </c>
      <c r="C806" t="inlineStr">
        <is>
          <t>palak.g@osmosys.co</t>
        </is>
      </c>
      <c r="D806" t="inlineStr">
        <is>
          <t>talking-buddy</t>
        </is>
      </c>
      <c r="E806">
        <f>HYPERLINK("http://gitlab.osmosys.co/talking-buddy/app", "app")</f>
        <v/>
      </c>
      <c r="F806">
        <f>HYPERLINK("http://gitlab.osmosys.co/talking-buddy/app/-/merge_requests/361", "feat: add 'accept' and 'reject' buttons in notification UI")</f>
        <v/>
      </c>
      <c r="G806" t="inlineStr">
        <is>
          <t>feature/call-enhancement-callkeep</t>
        </is>
      </c>
      <c r="H806" t="inlineStr">
        <is>
          <t>dev</t>
        </is>
      </c>
      <c r="I806" t="inlineStr">
        <is>
          <t>closed</t>
        </is>
      </c>
      <c r="J806" t="inlineStr"/>
      <c r="K806" t="inlineStr"/>
      <c r="L806" t="inlineStr"/>
      <c r="M806" t="inlineStr"/>
      <c r="N806" t="inlineStr"/>
      <c r="O806" t="inlineStr"/>
      <c r="P806" t="inlineStr"/>
      <c r="Q806" t="inlineStr"/>
    </row>
    <row r="807">
      <c r="A807" t="inlineStr">
        <is>
          <t>palak.g</t>
        </is>
      </c>
      <c r="B807" t="inlineStr">
        <is>
          <t>Palak Gupta</t>
        </is>
      </c>
      <c r="C807" t="inlineStr">
        <is>
          <t>palak.g@osmosys.co</t>
        </is>
      </c>
      <c r="D807" t="inlineStr">
        <is>
          <t>pinestem</t>
        </is>
      </c>
      <c r="E807">
        <f>HYPERLINK("http://gitlab.osmosys.co/pinestem/pinestem-portal", "PineStemPortal")</f>
        <v/>
      </c>
      <c r="F807">
        <f>HYPERLINK("http://gitlab.osmosys.co/pinestem/pinestem-portal/-/merge_requests/4842", "fix: Fix vulnerability of js-yaml package")</f>
        <v/>
      </c>
      <c r="G807" t="inlineStr">
        <is>
          <t>fix/js-yaml_vulnerability</t>
        </is>
      </c>
      <c r="H807" t="inlineStr">
        <is>
          <t>Sprint-56</t>
        </is>
      </c>
      <c r="I807" t="inlineStr">
        <is>
          <t>opened</t>
        </is>
      </c>
      <c r="J807" t="inlineStr"/>
      <c r="K807" t="inlineStr"/>
      <c r="L807" t="inlineStr"/>
      <c r="M807" t="inlineStr"/>
      <c r="N807" t="inlineStr"/>
      <c r="O807" t="inlineStr"/>
      <c r="P807" t="inlineStr"/>
      <c r="Q807" t="inlineStr"/>
    </row>
    <row r="808">
      <c r="A808" t="inlineStr">
        <is>
          <t>palak.g</t>
        </is>
      </c>
      <c r="B808" t="inlineStr">
        <is>
          <t>Palak Gupta</t>
        </is>
      </c>
      <c r="C808" t="inlineStr">
        <is>
          <t>palak.g@osmosys.co</t>
        </is>
      </c>
      <c r="D808" t="inlineStr">
        <is>
          <t>pinestem</t>
        </is>
      </c>
      <c r="E808">
        <f>HYPERLINK("http://gitlab.osmosys.co/pinestem/pinestem-portal", "PineStemPortal")</f>
        <v/>
      </c>
      <c r="F808">
        <f>HYPERLINK("http://gitlab.osmosys.co/pinestem/pinestem-portal/-/merge_requests/4841", "fix: Fix vulnerability of parsejson-package")</f>
        <v/>
      </c>
      <c r="G808" t="inlineStr">
        <is>
          <t>fix/parsejson-vulnerability</t>
        </is>
      </c>
      <c r="H808" t="inlineStr">
        <is>
          <t>Sprint-56</t>
        </is>
      </c>
      <c r="I808" t="inlineStr">
        <is>
          <t>opened</t>
        </is>
      </c>
      <c r="J808" t="inlineStr"/>
      <c r="K808" t="inlineStr"/>
      <c r="L808" t="inlineStr"/>
      <c r="M808" t="inlineStr"/>
      <c r="N808" t="inlineStr"/>
      <c r="O808" t="inlineStr"/>
      <c r="P808" t="inlineStr"/>
      <c r="Q808" t="inlineStr"/>
    </row>
    <row r="809">
      <c r="A809" t="inlineStr">
        <is>
          <t>palak.g</t>
        </is>
      </c>
      <c r="B809" t="inlineStr">
        <is>
          <t>Palak Gupta</t>
        </is>
      </c>
      <c r="C809" t="inlineStr">
        <is>
          <t>palak.g@osmosys.co</t>
        </is>
      </c>
      <c r="D809" t="inlineStr">
        <is>
          <t>pinestem</t>
        </is>
      </c>
      <c r="E809">
        <f>HYPERLINK("http://gitlab.osmosys.co/pinestem/pinestem-portal", "PineStemPortal")</f>
        <v/>
      </c>
      <c r="F809">
        <f>HYPERLINK("http://gitlab.osmosys.co/pinestem/pinestem-portal/-/merge_requests/4840", "fix: Fix vulnerability of shelljs package")</f>
        <v/>
      </c>
      <c r="G809" t="inlineStr">
        <is>
          <t>fix/shelljs-vulnerability</t>
        </is>
      </c>
      <c r="H809" t="inlineStr">
        <is>
          <t>Sprint-56</t>
        </is>
      </c>
      <c r="I809" t="inlineStr">
        <is>
          <t>opened</t>
        </is>
      </c>
      <c r="J809" t="inlineStr"/>
      <c r="K809" t="inlineStr"/>
      <c r="L809" t="inlineStr"/>
      <c r="M809" t="inlineStr"/>
      <c r="N809" t="inlineStr"/>
      <c r="O809" t="inlineStr"/>
      <c r="P809" t="inlineStr"/>
      <c r="Q809" t="inlineStr"/>
    </row>
    <row r="810">
      <c r="A810" t="inlineStr">
        <is>
          <t>palak.g</t>
        </is>
      </c>
      <c r="B810" t="inlineStr">
        <is>
          <t>Palak Gupta</t>
        </is>
      </c>
      <c r="C810" t="inlineStr">
        <is>
          <t>palak.g@osmosys.co</t>
        </is>
      </c>
      <c r="D810" t="inlineStr">
        <is>
          <t>pinestem</t>
        </is>
      </c>
      <c r="E810">
        <f>HYPERLINK("http://gitlab.osmosys.co/pinestem/pinestem-portal", "PineStemPortal")</f>
        <v/>
      </c>
      <c r="F810">
        <f>HYPERLINK("http://gitlab.osmosys.co/pinestem/pinestem-portal/-/merge_requests/4839", "fix: Fix vulnerability of url-regex package")</f>
        <v/>
      </c>
      <c r="G810" t="inlineStr">
        <is>
          <t>fix/url-regex-vulnerability</t>
        </is>
      </c>
      <c r="H810" t="inlineStr">
        <is>
          <t>Sprint-56</t>
        </is>
      </c>
      <c r="I810" t="inlineStr">
        <is>
          <t>opened</t>
        </is>
      </c>
      <c r="J810" t="inlineStr"/>
      <c r="K810" t="inlineStr"/>
      <c r="L810" t="inlineStr"/>
      <c r="M810" t="inlineStr"/>
      <c r="N810" t="inlineStr"/>
      <c r="O810" t="inlineStr"/>
      <c r="P810" t="inlineStr"/>
      <c r="Q810" t="inlineStr"/>
    </row>
    <row r="811">
      <c r="A811" t="inlineStr">
        <is>
          <t>palak.g</t>
        </is>
      </c>
      <c r="B811" t="inlineStr">
        <is>
          <t>Palak Gupta</t>
        </is>
      </c>
      <c r="C811" t="inlineStr">
        <is>
          <t>palak.g@osmosys.co</t>
        </is>
      </c>
      <c r="D811" t="inlineStr">
        <is>
          <t>pinestem</t>
        </is>
      </c>
      <c r="E811">
        <f>HYPERLINK("http://gitlab.osmosys.co/pinestem/PineStem-app-ionic-3", "PineStem Mobile App")</f>
        <v/>
      </c>
      <c r="F811">
        <f>HYPERLINK("http://gitlab.osmosys.co/pinestem/PineStem-app-ionic-3/-/merge_requests/182", "fix: Task reload issue after performing search")</f>
        <v/>
      </c>
      <c r="G811" t="inlineStr">
        <is>
          <t>fix/task-reload-issue-after-search</t>
        </is>
      </c>
      <c r="H811" t="inlineStr">
        <is>
          <t>development-flutter</t>
        </is>
      </c>
      <c r="I811" t="inlineStr">
        <is>
          <t>merged</t>
        </is>
      </c>
      <c r="J811" t="inlineStr"/>
      <c r="K811" t="inlineStr"/>
      <c r="L811" t="inlineStr"/>
      <c r="M811" t="inlineStr"/>
      <c r="N811" t="inlineStr"/>
      <c r="O811" t="inlineStr"/>
      <c r="P811" t="inlineStr"/>
      <c r="Q811" t="inlineStr"/>
    </row>
    <row r="812">
      <c r="A812" t="inlineStr">
        <is>
          <t>palak.g</t>
        </is>
      </c>
      <c r="B812" t="inlineStr">
        <is>
          <t>Palak Gupta</t>
        </is>
      </c>
      <c r="C812" t="inlineStr">
        <is>
          <t>palak.g@osmosys.co</t>
        </is>
      </c>
      <c r="D812" t="inlineStr">
        <is>
          <t>pinestem</t>
        </is>
      </c>
      <c r="E812">
        <f>HYPERLINK("http://gitlab.osmosys.co/pinestem/PineStem-app-ionic-3", "PineStem Mobile App")</f>
        <v/>
      </c>
      <c r="F812">
        <f>HYPERLINK("http://gitlab.osmosys.co/pinestem/PineStem-app-ionic-3/-/merge_requests/181", "fix: Adjust width of instance dropdown")</f>
        <v/>
      </c>
      <c r="G812" t="inlineStr">
        <is>
          <t>adjust-dimensions-of-instance-dropdown</t>
        </is>
      </c>
      <c r="H812" t="inlineStr">
        <is>
          <t>development-flutter</t>
        </is>
      </c>
      <c r="I812" t="inlineStr">
        <is>
          <t>merged</t>
        </is>
      </c>
      <c r="J812" t="inlineStr"/>
      <c r="K812" t="inlineStr"/>
      <c r="L812" t="inlineStr"/>
      <c r="M812" t="inlineStr"/>
      <c r="N812" t="inlineStr"/>
      <c r="O812" t="inlineStr"/>
      <c r="P812" t="inlineStr"/>
      <c r="Q812" t="inlineStr"/>
    </row>
    <row r="813">
      <c r="A813" t="inlineStr">
        <is>
          <t>palak.g</t>
        </is>
      </c>
      <c r="B813" t="inlineStr">
        <is>
          <t>Palak Gupta</t>
        </is>
      </c>
      <c r="C813" t="inlineStr">
        <is>
          <t>palak.g@osmosys.co</t>
        </is>
      </c>
      <c r="D813" t="inlineStr">
        <is>
          <t>pinestem</t>
        </is>
      </c>
      <c r="E813">
        <f>HYPERLINK("http://gitlab.osmosys.co/pinestem/PineStem-app-ionic-3", "PineStem Mobile App")</f>
        <v/>
      </c>
      <c r="F813">
        <f>HYPERLINK("http://gitlab.osmosys.co/pinestem/PineStem-app-ionic-3/-/merge_requests/180", "feat: add haptic-feedback in home screen")</f>
        <v/>
      </c>
      <c r="G813" t="inlineStr">
        <is>
          <t>add-haptic-feedback</t>
        </is>
      </c>
      <c r="H813" t="inlineStr">
        <is>
          <t>development-flutter</t>
        </is>
      </c>
      <c r="I813" t="inlineStr">
        <is>
          <t>merged</t>
        </is>
      </c>
      <c r="J813" t="inlineStr"/>
      <c r="K813" t="inlineStr"/>
      <c r="L813" t="inlineStr"/>
      <c r="M813" t="inlineStr"/>
      <c r="N813" t="inlineStr"/>
      <c r="O813" t="inlineStr"/>
      <c r="P813" t="inlineStr"/>
      <c r="Q813" t="inlineStr"/>
    </row>
    <row r="814">
      <c r="A814" t="inlineStr">
        <is>
          <t>palak.g</t>
        </is>
      </c>
      <c r="B814" t="inlineStr">
        <is>
          <t>Palak Gupta</t>
        </is>
      </c>
      <c r="C814" t="inlineStr">
        <is>
          <t>palak.g@osmosys.co</t>
        </is>
      </c>
      <c r="D814" t="inlineStr">
        <is>
          <t>pinestem</t>
        </is>
      </c>
      <c r="E814">
        <f>HYPERLINK("http://gitlab.osmosys.co/pinestem/PineStem-app-ionic-3", "PineStem Mobile App")</f>
        <v/>
      </c>
      <c r="F814">
        <f>HYPERLINK("http://gitlab.osmosys.co/pinestem/PineStem-app-ionic-3/-/merge_requests/179", "fix: Fix the issue where filters are not working")</f>
        <v/>
      </c>
      <c r="G814" t="inlineStr">
        <is>
          <t>fix/filters-not-working</t>
        </is>
      </c>
      <c r="H814" t="inlineStr">
        <is>
          <t>development-flutter</t>
        </is>
      </c>
      <c r="I814" t="inlineStr">
        <is>
          <t>merged</t>
        </is>
      </c>
      <c r="J814" t="inlineStr"/>
      <c r="K814" t="inlineStr"/>
      <c r="L814" t="inlineStr"/>
      <c r="M814" t="inlineStr"/>
      <c r="N814" t="inlineStr"/>
      <c r="O814" t="inlineStr"/>
      <c r="P814" t="inlineStr"/>
      <c r="Q814" t="inlineStr"/>
    </row>
    <row r="815">
      <c r="A815" t="inlineStr">
        <is>
          <t>om.b</t>
        </is>
      </c>
      <c r="B815" t="inlineStr">
        <is>
          <t>Om Bhavsar</t>
        </is>
      </c>
      <c r="C815" t="inlineStr">
        <is>
          <t>om.b@osmosys.co</t>
        </is>
      </c>
      <c r="D815" t="inlineStr">
        <is>
          <t>tp</t>
        </is>
      </c>
      <c r="E815">
        <f>HYPERLINK("http://gitlab.osmosys.co/tp/TalonProAPI", "TalonProAPI")</f>
        <v/>
      </c>
      <c r="F815">
        <f>HYPERLINK("http://gitlab.osmosys.co/tp/TalonProAPI/-/merge_requests/2093", "Add xlsx in SF cat lease report")</f>
        <v/>
      </c>
      <c r="G815" t="inlineStr">
        <is>
          <t>SF_cat_lease_fix</t>
        </is>
      </c>
      <c r="H815" t="inlineStr">
        <is>
          <t>Staging_Development</t>
        </is>
      </c>
      <c r="I815" t="inlineStr">
        <is>
          <t>merged</t>
        </is>
      </c>
      <c r="J815" t="inlineStr"/>
      <c r="K815" t="inlineStr"/>
      <c r="L815" t="inlineStr"/>
      <c r="M815" t="inlineStr"/>
      <c r="N815" t="inlineStr"/>
      <c r="O815" t="inlineStr"/>
      <c r="P815" t="inlineStr"/>
      <c r="Q815" t="inlineStr"/>
    </row>
    <row r="816">
      <c r="A816" t="inlineStr">
        <is>
          <t>debraj.d</t>
        </is>
      </c>
      <c r="B816" t="inlineStr">
        <is>
          <t>Debraj Dey</t>
        </is>
      </c>
      <c r="C816" t="inlineStr">
        <is>
          <t>debraj.d@osmosys.co</t>
        </is>
      </c>
      <c r="D816" t="inlineStr">
        <is>
          <t>tp</t>
        </is>
      </c>
      <c r="E816">
        <f>HYPERLINK("http://gitlab.osmosys.co/tp/TalonProAPI", "TalonProAPI")</f>
        <v/>
      </c>
      <c r="F816">
        <f>HYPERLINK("http://gitlab.osmosys.co/tp/TalonProAPI/-/merge_requests/2051", "Add new columns to Change Request Worksheet")</f>
        <v/>
      </c>
      <c r="G816" t="inlineStr">
        <is>
          <t>Dev/Change_Request_New_Columns</t>
        </is>
      </c>
      <c r="H816" t="inlineStr">
        <is>
          <t>PreTest_Development</t>
        </is>
      </c>
      <c r="I816" t="inlineStr">
        <is>
          <t>merged</t>
        </is>
      </c>
      <c r="J816" t="inlineStr">
        <is>
          <t>4a80e91044db979a8fc80658a07ae6a5ae12675d</t>
        </is>
      </c>
      <c r="K816">
        <f>HYPERLINK("http://gitlab.osmosys.co/tp/TalonProAPI/-/merge_requests/2051#note_232685", "Why have you added new columns
As per the request the existing columns from support table should be mapped in change request sheet based on the support ticket id
@debraj.d")</f>
        <v/>
      </c>
      <c r="L816" t="inlineStr">
        <is>
          <t>2025-07-07 17:05:48.467 IST</t>
        </is>
      </c>
      <c r="M816" t="inlineStr">
        <is>
          <t xml:space="preserve">Mandali Harshavardhan </t>
        </is>
      </c>
      <c r="N816" t="inlineStr">
        <is>
          <t>Yes</t>
        </is>
      </c>
      <c r="O816" t="inlineStr">
        <is>
          <t>No</t>
        </is>
      </c>
      <c r="P816" t="inlineStr"/>
      <c r="Q816" t="inlineStr">
        <is>
          <t>Bad</t>
        </is>
      </c>
    </row>
    <row r="817">
      <c r="A817" t="inlineStr">
        <is>
          <t>debraj.d</t>
        </is>
      </c>
      <c r="B817" t="inlineStr">
        <is>
          <t>Debraj Dey</t>
        </is>
      </c>
      <c r="C817" t="inlineStr">
        <is>
          <t>debraj.d@osmosys.co</t>
        </is>
      </c>
      <c r="D817" t="inlineStr">
        <is>
          <t>tp</t>
        </is>
      </c>
      <c r="E817">
        <f>HYPERLINK("http://gitlab.osmosys.co/tp/TalonProAPI", "TalonProAPI")</f>
        <v/>
      </c>
      <c r="F817">
        <f>HYPERLINK("http://gitlab.osmosys.co/tp/TalonProAPI/-/merge_requests/2051", "Add new columns to Change Request Worksheet")</f>
        <v/>
      </c>
      <c r="G817" t="inlineStr">
        <is>
          <t>Dev/Change_Request_New_Columns</t>
        </is>
      </c>
      <c r="H817" t="inlineStr">
        <is>
          <t>PreTest_Development</t>
        </is>
      </c>
      <c r="I817" t="inlineStr">
        <is>
          <t>merged</t>
        </is>
      </c>
      <c r="J817" t="inlineStr">
        <is>
          <t>4a80e91044db979a8fc80658a07ae6a5ae12675d</t>
        </is>
      </c>
      <c r="K817">
        <f>HYPERLINK("http://gitlab.osmosys.co/tp/TalonProAPI/-/merge_requests/2051#note_232814", "I have mapped the columns of support worksheet details table with change request worksheet both GET &amp; POST APIs.")</f>
        <v/>
      </c>
      <c r="L817" t="inlineStr">
        <is>
          <t>2025-07-08 07:18:56.183 IST</t>
        </is>
      </c>
      <c r="M817" t="inlineStr">
        <is>
          <t>Debraj Dey</t>
        </is>
      </c>
      <c r="N817" t="inlineStr">
        <is>
          <t>No</t>
        </is>
      </c>
      <c r="O817" t="inlineStr">
        <is>
          <t>No</t>
        </is>
      </c>
      <c r="P817" t="inlineStr"/>
      <c r="Q817" t="inlineStr">
        <is>
          <t>Bad</t>
        </is>
      </c>
    </row>
    <row r="818">
      <c r="A818" t="inlineStr">
        <is>
          <t>debraj.d</t>
        </is>
      </c>
      <c r="B818" t="inlineStr">
        <is>
          <t>Debraj Dey</t>
        </is>
      </c>
      <c r="C818" t="inlineStr">
        <is>
          <t>debraj.d@osmosys.co</t>
        </is>
      </c>
      <c r="D818" t="inlineStr">
        <is>
          <t>tp</t>
        </is>
      </c>
      <c r="E818">
        <f>HYPERLINK("http://gitlab.osmosys.co/tp/TalonProAPI", "TalonProAPI")</f>
        <v/>
      </c>
      <c r="F818">
        <f>HYPERLINK("http://gitlab.osmosys.co/tp/TalonProAPI/-/merge_requests/2042", "Automatic pinestem task creation for support tickets")</f>
        <v/>
      </c>
      <c r="G818" t="inlineStr">
        <is>
          <t>Dev/Pinestem_task_creation</t>
        </is>
      </c>
      <c r="H818" t="inlineStr">
        <is>
          <t>PreTest_Development</t>
        </is>
      </c>
      <c r="I818" t="inlineStr">
        <is>
          <t>opened</t>
        </is>
      </c>
      <c r="J818" t="inlineStr"/>
      <c r="K818" t="inlineStr"/>
      <c r="L818" t="inlineStr"/>
      <c r="M818" t="inlineStr"/>
      <c r="N818" t="inlineStr"/>
      <c r="O818" t="inlineStr"/>
      <c r="P818" t="inlineStr"/>
      <c r="Q818" t="inlineStr"/>
    </row>
    <row r="819">
      <c r="A819" t="inlineStr">
        <is>
          <t>pratham.k</t>
        </is>
      </c>
      <c r="B819" t="inlineStr">
        <is>
          <t>Pratham Kancharlawar</t>
        </is>
      </c>
      <c r="C819" t="inlineStr">
        <is>
          <t>pratham.k@osmosys.co</t>
        </is>
      </c>
      <c r="D819" t="inlineStr">
        <is>
          <t>incident-reporter</t>
        </is>
      </c>
      <c r="E819">
        <f>HYPERLINK("http://gitlab.osmosys.co/incident-reporter/incident-reporter-api", "OQSHA-API")</f>
        <v/>
      </c>
      <c r="F819">
        <f>HYPERLINK("http://gitlab.osmosys.co/incident-reporter/incident-reporter-api/-/merge_requests/4480", "fix: add site association in setup apis")</f>
        <v/>
      </c>
      <c r="G819" t="inlineStr">
        <is>
          <t>fix/add-incident-sites</t>
        </is>
      </c>
      <c r="H819" t="inlineStr">
        <is>
          <t>sprint-19</t>
        </is>
      </c>
      <c r="I819" t="inlineStr">
        <is>
          <t>merged</t>
        </is>
      </c>
      <c r="J819" t="inlineStr"/>
      <c r="K819" t="inlineStr"/>
      <c r="L819" t="inlineStr"/>
      <c r="M819" t="inlineStr"/>
      <c r="N819" t="inlineStr"/>
      <c r="O819" t="inlineStr"/>
      <c r="P819" t="inlineStr"/>
      <c r="Q819" t="inlineStr"/>
    </row>
    <row r="820">
      <c r="A820" t="inlineStr">
        <is>
          <t>pratham.k</t>
        </is>
      </c>
      <c r="B820" t="inlineStr">
        <is>
          <t>Pratham Kancharlawar</t>
        </is>
      </c>
      <c r="C820" t="inlineStr">
        <is>
          <t>pratham.k@osmosys.co</t>
        </is>
      </c>
      <c r="D820" t="inlineStr">
        <is>
          <t>incident-reporter</t>
        </is>
      </c>
      <c r="E820">
        <f>HYPERLINK("http://gitlab.osmosys.co/incident-reporter/incident-reporter-api", "OQSHA-API")</f>
        <v/>
      </c>
      <c r="F820">
        <f>HYPERLINK("http://gitlab.osmosys.co/incident-reporter/incident-reporter-api/-/merge_requests/4474", "feat: add api to fetch incident management investigation categories")</f>
        <v/>
      </c>
      <c r="G820" t="inlineStr">
        <is>
          <t>feat/get-investigation-categories</t>
        </is>
      </c>
      <c r="H820" t="inlineStr">
        <is>
          <t>sprint-19</t>
        </is>
      </c>
      <c r="I820" t="inlineStr">
        <is>
          <t>merged</t>
        </is>
      </c>
      <c r="J820" t="inlineStr"/>
      <c r="K820" t="inlineStr"/>
      <c r="L820" t="inlineStr"/>
      <c r="M820" t="inlineStr"/>
      <c r="N820" t="inlineStr"/>
      <c r="O820" t="inlineStr"/>
      <c r="P820" t="inlineStr"/>
      <c r="Q820" t="inlineStr"/>
    </row>
    <row r="821">
      <c r="A821" t="inlineStr">
        <is>
          <t>pratham.k</t>
        </is>
      </c>
      <c r="B821" t="inlineStr">
        <is>
          <t>Pratham Kancharlawar</t>
        </is>
      </c>
      <c r="C821" t="inlineStr">
        <is>
          <t>pratham.k@osmosys.co</t>
        </is>
      </c>
      <c r="D821" t="inlineStr">
        <is>
          <t>incident-reporter</t>
        </is>
      </c>
      <c r="E821">
        <f>HYPERLINK("http://gitlab.osmosys.co/incident-reporter/incident-reporter-api", "OQSHA-API")</f>
        <v/>
      </c>
      <c r="F821">
        <f>HYPERLINK("http://gitlab.osmosys.co/incident-reporter/incident-reporter-api/-/merge_requests/4472", "feat: add api to fetch incident management incident injury treatment")</f>
        <v/>
      </c>
      <c r="G821" t="inlineStr">
        <is>
          <t>feat/incident-management-treatment-injury</t>
        </is>
      </c>
      <c r="H821" t="inlineStr">
        <is>
          <t>sprint-19</t>
        </is>
      </c>
      <c r="I821" t="inlineStr">
        <is>
          <t>merged</t>
        </is>
      </c>
      <c r="J821" t="inlineStr"/>
      <c r="K821" t="inlineStr"/>
      <c r="L821" t="inlineStr"/>
      <c r="M821" t="inlineStr"/>
      <c r="N821" t="inlineStr"/>
      <c r="O821" t="inlineStr"/>
      <c r="P821" t="inlineStr"/>
      <c r="Q821" t="inlineStr"/>
    </row>
    <row r="822">
      <c r="A822" t="inlineStr">
        <is>
          <t>pratham.k</t>
        </is>
      </c>
      <c r="B822" t="inlineStr">
        <is>
          <t>Pratham Kancharlawar</t>
        </is>
      </c>
      <c r="C822" t="inlineStr">
        <is>
          <t>pratham.k@osmosys.co</t>
        </is>
      </c>
      <c r="D822" t="inlineStr">
        <is>
          <t>incident-reporter</t>
        </is>
      </c>
      <c r="E822">
        <f>HYPERLINK("http://gitlab.osmosys.co/incident-reporter/incident-reporter-api", "OQSHA-API")</f>
        <v/>
      </c>
      <c r="F822">
        <f>HYPERLINK("http://gitlab.osmosys.co/incident-reporter/incident-reporter-api/-/merge_requests/4470", "feat: add api to fetch incident management incident category")</f>
        <v/>
      </c>
      <c r="G822" t="inlineStr">
        <is>
          <t>feat/get-incident-management-incident-category</t>
        </is>
      </c>
      <c r="H822" t="inlineStr">
        <is>
          <t>sprint-19</t>
        </is>
      </c>
      <c r="I822" t="inlineStr">
        <is>
          <t>merged</t>
        </is>
      </c>
      <c r="J822" t="inlineStr"/>
      <c r="K822" t="inlineStr"/>
      <c r="L822" t="inlineStr"/>
      <c r="M822" t="inlineStr"/>
      <c r="N822" t="inlineStr"/>
      <c r="O822" t="inlineStr"/>
      <c r="P822" t="inlineStr"/>
      <c r="Q822" t="inlineStr"/>
    </row>
    <row r="823">
      <c r="A823" t="inlineStr">
        <is>
          <t>pratham.k</t>
        </is>
      </c>
      <c r="B823" t="inlineStr">
        <is>
          <t>Pratham Kancharlawar</t>
        </is>
      </c>
      <c r="C823" t="inlineStr">
        <is>
          <t>pratham.k@osmosys.co</t>
        </is>
      </c>
      <c r="D823" t="inlineStr">
        <is>
          <t>incident-reporter</t>
        </is>
      </c>
      <c r="E823">
        <f>HYPERLINK("http://gitlab.osmosys.co/incident-reporter/incident-reporter-api", "OQSHA-API")</f>
        <v/>
      </c>
      <c r="F823">
        <f>HYPERLINK("http://gitlab.osmosys.co/incident-reporter/incident-reporter-api/-/merge_requests/4464", "feat: add api to fetch statuses of incident management")</f>
        <v/>
      </c>
      <c r="G823" t="inlineStr">
        <is>
          <t>feat/incident-management-incident-status</t>
        </is>
      </c>
      <c r="H823" t="inlineStr">
        <is>
          <t>sprint-19</t>
        </is>
      </c>
      <c r="I823" t="inlineStr">
        <is>
          <t>merged</t>
        </is>
      </c>
      <c r="J823" t="inlineStr"/>
      <c r="K823" t="inlineStr"/>
      <c r="L823" t="inlineStr"/>
      <c r="M823" t="inlineStr"/>
      <c r="N823" t="inlineStr"/>
      <c r="O823" t="inlineStr"/>
      <c r="P823" t="inlineStr"/>
      <c r="Q823" t="inlineStr"/>
    </row>
    <row r="824">
      <c r="A824" t="inlineStr">
        <is>
          <t>pratham.k</t>
        </is>
      </c>
      <c r="B824" t="inlineStr">
        <is>
          <t>Pratham Kancharlawar</t>
        </is>
      </c>
      <c r="C824" t="inlineStr">
        <is>
          <t>pratham.k@osmosys.co</t>
        </is>
      </c>
      <c r="D824" t="inlineStr">
        <is>
          <t>incident-reporter</t>
        </is>
      </c>
      <c r="E824">
        <f>HYPERLINK("http://gitlab.osmosys.co/incident-reporter/incident-reporter-api", "OQSHA-API")</f>
        <v/>
      </c>
      <c r="F824">
        <f>HYPERLINK("http://gitlab.osmosys.co/incident-reporter/incident-reporter-api/-/merge_requests/4460", "feat: add api to fetch incident management investigation report incident categories")</f>
        <v/>
      </c>
      <c r="G824" t="inlineStr">
        <is>
          <t>feat/incident-management-investiagation-categories</t>
        </is>
      </c>
      <c r="H824" t="inlineStr">
        <is>
          <t>sprint-19</t>
        </is>
      </c>
      <c r="I824" t="inlineStr">
        <is>
          <t>merged</t>
        </is>
      </c>
      <c r="J824" t="inlineStr"/>
      <c r="K824" t="inlineStr"/>
      <c r="L824" t="inlineStr"/>
      <c r="M824" t="inlineStr"/>
      <c r="N824" t="inlineStr"/>
      <c r="O824" t="inlineStr"/>
      <c r="P824" t="inlineStr"/>
      <c r="Q824" t="inlineStr"/>
    </row>
    <row r="825">
      <c r="A825" t="inlineStr">
        <is>
          <t>pratham.k</t>
        </is>
      </c>
      <c r="B825" t="inlineStr">
        <is>
          <t>Pratham Kancharlawar</t>
        </is>
      </c>
      <c r="C825" t="inlineStr">
        <is>
          <t>pratham.k@osmosys.co</t>
        </is>
      </c>
      <c r="D825" t="inlineStr">
        <is>
          <t>incident-reporter</t>
        </is>
      </c>
      <c r="E825">
        <f>HYPERLINK("http://gitlab.osmosys.co/incident-reporter/incident-reporter-api", "OQSHA-API")</f>
        <v/>
      </c>
      <c r="F825">
        <f>HYPERLINK("http://gitlab.osmosys.co/incident-reporter/incident-reporter-api/-/merge_requests/4451", "feat: add api to fetch incidents by id")</f>
        <v/>
      </c>
      <c r="G825" t="inlineStr">
        <is>
          <t>feat/get-incident-management-id</t>
        </is>
      </c>
      <c r="H825" t="inlineStr">
        <is>
          <t>sprint-19</t>
        </is>
      </c>
      <c r="I825" t="inlineStr">
        <is>
          <t>merged</t>
        </is>
      </c>
      <c r="J825" t="inlineStr">
        <is>
          <t>c718e19568686873ef257837cb301ea5ca7f4e69</t>
        </is>
      </c>
      <c r="K825">
        <f>HYPERLINK("http://gitlab.osmosys.co/incident-reporter/incident-reporter-api/-/merge_requests/4451#note_246341", "Does it help to add a join by status also in terms of the performance of the API?")</f>
        <v/>
      </c>
      <c r="L825" t="inlineStr">
        <is>
          <t>2025-08-02 16:09:53.545 IST</t>
        </is>
      </c>
      <c r="M825" t="inlineStr">
        <is>
          <t>Sameer Shaik</t>
        </is>
      </c>
      <c r="N825" t="inlineStr">
        <is>
          <t>Yes</t>
        </is>
      </c>
      <c r="O825" t="inlineStr">
        <is>
          <t>Yes</t>
        </is>
      </c>
      <c r="P825" t="inlineStr">
        <is>
          <t>Sameer Shaik</t>
        </is>
      </c>
      <c r="Q825" t="inlineStr">
        <is>
          <t>Neutral</t>
        </is>
      </c>
    </row>
    <row r="826">
      <c r="A826" t="inlineStr">
        <is>
          <t>pratham.k</t>
        </is>
      </c>
      <c r="B826" t="inlineStr">
        <is>
          <t>Pratham Kancharlawar</t>
        </is>
      </c>
      <c r="C826" t="inlineStr">
        <is>
          <t>pratham.k@osmosys.co</t>
        </is>
      </c>
      <c r="D826" t="inlineStr">
        <is>
          <t>incident-reporter</t>
        </is>
      </c>
      <c r="E826">
        <f>HYPERLINK("http://gitlab.osmosys.co/incident-reporter/incident-reporter-api", "OQSHA-API")</f>
        <v/>
      </c>
      <c r="F826">
        <f>HYPERLINK("http://gitlab.osmosys.co/incident-reporter/incident-reporter-api/-/merge_requests/4451", "feat: add api to fetch incidents by id")</f>
        <v/>
      </c>
      <c r="G826" t="inlineStr">
        <is>
          <t>feat/get-incident-management-id</t>
        </is>
      </c>
      <c r="H826" t="inlineStr">
        <is>
          <t>sprint-19</t>
        </is>
      </c>
      <c r="I826" t="inlineStr">
        <is>
          <t>merged</t>
        </is>
      </c>
      <c r="J826" t="inlineStr">
        <is>
          <t>c718e19568686873ef257837cb301ea5ca7f4e69</t>
        </is>
      </c>
      <c r="K826">
        <f>HYPERLINK("http://gitlab.osmosys.co/incident-reporter/incident-reporter-api/-/merge_requests/4451#note_246377", "yes, Adding the status filter in the LEFT JOIN improves query performance by reducing joined data early")</f>
        <v/>
      </c>
      <c r="L826" t="inlineStr">
        <is>
          <t>2025-08-02 16:45:05.681 IST</t>
        </is>
      </c>
      <c r="M826" t="inlineStr">
        <is>
          <t>Pratham Kancharlawar</t>
        </is>
      </c>
      <c r="N826" t="inlineStr">
        <is>
          <t>No</t>
        </is>
      </c>
      <c r="O826" t="inlineStr">
        <is>
          <t>Yes</t>
        </is>
      </c>
      <c r="P826" t="inlineStr">
        <is>
          <t>Sameer Shaik</t>
        </is>
      </c>
      <c r="Q826" t="inlineStr">
        <is>
          <t>Neutral</t>
        </is>
      </c>
    </row>
    <row r="827">
      <c r="A827" t="inlineStr">
        <is>
          <t>pratham.k</t>
        </is>
      </c>
      <c r="B827" t="inlineStr">
        <is>
          <t>Pratham Kancharlawar</t>
        </is>
      </c>
      <c r="C827" t="inlineStr">
        <is>
          <t>pratham.k@osmosys.co</t>
        </is>
      </c>
      <c r="D827" t="inlineStr">
        <is>
          <t>incident-reporter</t>
        </is>
      </c>
      <c r="E827">
        <f>HYPERLINK("http://gitlab.osmosys.co/incident-reporter/incident-reporter-api", "OQSHA-API")</f>
        <v/>
      </c>
      <c r="F827">
        <f>HYPERLINK("http://gitlab.osmosys.co/incident-reporter/incident-reporter-api/-/merge_requests/4447", "fix: update company exports api")</f>
        <v/>
      </c>
      <c r="G827" t="inlineStr">
        <is>
          <t>fix/company-export-api</t>
        </is>
      </c>
      <c r="H827" t="inlineStr">
        <is>
          <t>sprint-19</t>
        </is>
      </c>
      <c r="I827" t="inlineStr">
        <is>
          <t>merged</t>
        </is>
      </c>
      <c r="J827" t="inlineStr"/>
      <c r="K827" t="inlineStr"/>
      <c r="L827" t="inlineStr"/>
      <c r="M827" t="inlineStr"/>
      <c r="N827" t="inlineStr"/>
      <c r="O827" t="inlineStr"/>
      <c r="P827" t="inlineStr"/>
      <c r="Q827" t="inlineStr"/>
    </row>
    <row r="828">
      <c r="A828" t="inlineStr">
        <is>
          <t>pratham.k</t>
        </is>
      </c>
      <c r="B828" t="inlineStr">
        <is>
          <t>Pratham Kancharlawar</t>
        </is>
      </c>
      <c r="C828" t="inlineStr">
        <is>
          <t>pratham.k@osmosys.co</t>
        </is>
      </c>
      <c r="D828" t="inlineStr">
        <is>
          <t>incident-reporter</t>
        </is>
      </c>
      <c r="E828">
        <f>HYPERLINK("http://gitlab.osmosys.co/incident-reporter/incident-reporter-api", "OQSHA-API")</f>
        <v/>
      </c>
      <c r="F828">
        <f>HYPERLINK("http://gitlab.osmosys.co/incident-reporter/incident-reporter-api/-/merge_requests/4436", "feat: associate inspections to ptw")</f>
        <v/>
      </c>
      <c r="G828" t="inlineStr">
        <is>
          <t>feat/associate-inspections-ptw</t>
        </is>
      </c>
      <c r="H828" t="inlineStr">
        <is>
          <t>sprint-19</t>
        </is>
      </c>
      <c r="I828" t="inlineStr">
        <is>
          <t>merged</t>
        </is>
      </c>
      <c r="J828" t="inlineStr">
        <is>
          <t>1c7425b0a9169d0352c8fd24072dbe73de9f2acd</t>
        </is>
      </c>
      <c r="K828">
        <f>HYPERLINK("http://gitlab.osmosys.co/incident-reporter/incident-reporter-api/-/merge_requests/4436#note_246130", "Why do we need this?? Get just the ids. DOn't concatenate.")</f>
        <v/>
      </c>
      <c r="L828" t="inlineStr">
        <is>
          <t>2025-08-02 12:46:26.806 IST</t>
        </is>
      </c>
      <c r="M828" t="inlineStr">
        <is>
          <t>Sindhusha</t>
        </is>
      </c>
      <c r="N828" t="inlineStr">
        <is>
          <t>Yes</t>
        </is>
      </c>
      <c r="O828" t="inlineStr">
        <is>
          <t>Yes</t>
        </is>
      </c>
      <c r="P828" t="inlineStr">
        <is>
          <t>Sindhusha</t>
        </is>
      </c>
      <c r="Q828" t="inlineStr">
        <is>
          <t>Bad</t>
        </is>
      </c>
    </row>
    <row r="829">
      <c r="A829" t="inlineStr">
        <is>
          <t>pratham.k</t>
        </is>
      </c>
      <c r="B829" t="inlineStr">
        <is>
          <t>Pratham Kancharlawar</t>
        </is>
      </c>
      <c r="C829" t="inlineStr">
        <is>
          <t>pratham.k@osmosys.co</t>
        </is>
      </c>
      <c r="D829" t="inlineStr">
        <is>
          <t>incident-reporter</t>
        </is>
      </c>
      <c r="E829">
        <f>HYPERLINK("http://gitlab.osmosys.co/incident-reporter/incident-reporter-api", "OQSHA-API")</f>
        <v/>
      </c>
      <c r="F829">
        <f>HYPERLINK("http://gitlab.osmosys.co/incident-reporter/incident-reporter-api/-/merge_requests/4436", "feat: associate inspections to ptw")</f>
        <v/>
      </c>
      <c r="G829" t="inlineStr">
        <is>
          <t>feat/associate-inspections-ptw</t>
        </is>
      </c>
      <c r="H829" t="inlineStr">
        <is>
          <t>sprint-19</t>
        </is>
      </c>
      <c r="I829" t="inlineStr">
        <is>
          <t>merged</t>
        </is>
      </c>
      <c r="J829" t="inlineStr">
        <is>
          <t>1c7425b0a9169d0352c8fd24072dbe73de9f2acd</t>
        </is>
      </c>
      <c r="K829">
        <f>HYPERLINK("http://gitlab.osmosys.co/incident-reporter/incident-reporter-api/-/merge_requests/4436#note_246193", "Table have many to many relation, so we are expecting multiple ptwids and if we dont concat then it will break")</f>
        <v/>
      </c>
      <c r="L829" t="inlineStr">
        <is>
          <t>2025-08-02 13:18:25.948 IST</t>
        </is>
      </c>
      <c r="M829" t="inlineStr">
        <is>
          <t>Pratham Kancharlawar</t>
        </is>
      </c>
      <c r="N829" t="inlineStr">
        <is>
          <t>No</t>
        </is>
      </c>
      <c r="O829" t="inlineStr">
        <is>
          <t>Yes</t>
        </is>
      </c>
      <c r="P829" t="inlineStr">
        <is>
          <t>Sindhusha</t>
        </is>
      </c>
      <c r="Q829" t="inlineStr">
        <is>
          <t>Bad</t>
        </is>
      </c>
    </row>
    <row r="830">
      <c r="A830" t="inlineStr">
        <is>
          <t>pratham.k</t>
        </is>
      </c>
      <c r="B830" t="inlineStr">
        <is>
          <t>Pratham Kancharlawar</t>
        </is>
      </c>
      <c r="C830" t="inlineStr">
        <is>
          <t>pratham.k@osmosys.co</t>
        </is>
      </c>
      <c r="D830" t="inlineStr">
        <is>
          <t>incident-reporter</t>
        </is>
      </c>
      <c r="E830">
        <f>HYPERLINK("http://gitlab.osmosys.co/incident-reporter/incident-reporter-api", "OQSHA-API")</f>
        <v/>
      </c>
      <c r="F830">
        <f>HYPERLINK("http://gitlab.osmosys.co/incident-reporter/incident-reporter-api/-/merge_requests/4436", "feat: associate inspections to ptw")</f>
        <v/>
      </c>
      <c r="G830" t="inlineStr">
        <is>
          <t>feat/associate-inspections-ptw</t>
        </is>
      </c>
      <c r="H830" t="inlineStr">
        <is>
          <t>sprint-19</t>
        </is>
      </c>
      <c r="I830" t="inlineStr">
        <is>
          <t>merged</t>
        </is>
      </c>
      <c r="J830" t="inlineStr">
        <is>
          <t>1c7425b0a9169d0352c8fd24072dbe73de9f2acd</t>
        </is>
      </c>
      <c r="K830">
        <f>HYPERLINK("http://gitlab.osmosys.co/incident-reporter/incident-reporter-api/-/merge_requests/4436#note_246195", "We don't need GROUP concatenate for this, check tickets list page API to know how is that handled.")</f>
        <v/>
      </c>
      <c r="L830" t="inlineStr">
        <is>
          <t>2025-08-02 13:20:38.568 IST</t>
        </is>
      </c>
      <c r="M830" t="inlineStr">
        <is>
          <t>Sindhusha</t>
        </is>
      </c>
      <c r="N830" t="inlineStr">
        <is>
          <t>Yes</t>
        </is>
      </c>
      <c r="O830" t="inlineStr">
        <is>
          <t>Yes</t>
        </is>
      </c>
      <c r="P830" t="inlineStr">
        <is>
          <t>Sindhusha</t>
        </is>
      </c>
      <c r="Q830" t="inlineStr">
        <is>
          <t>Bad</t>
        </is>
      </c>
    </row>
    <row r="831">
      <c r="A831" t="inlineStr">
        <is>
          <t>pratham.k</t>
        </is>
      </c>
      <c r="B831" t="inlineStr">
        <is>
          <t>Pratham Kancharlawar</t>
        </is>
      </c>
      <c r="C831" t="inlineStr">
        <is>
          <t>pratham.k@osmosys.co</t>
        </is>
      </c>
      <c r="D831" t="inlineStr">
        <is>
          <t>incident-reporter</t>
        </is>
      </c>
      <c r="E831">
        <f>HYPERLINK("http://gitlab.osmosys.co/incident-reporter/incident-reporter-api", "OQSHA-API")</f>
        <v/>
      </c>
      <c r="F831">
        <f>HYPERLINK("http://gitlab.osmosys.co/incident-reporter/incident-reporter-api/-/merge_requests/4427", "feat: add moc task association support")</f>
        <v/>
      </c>
      <c r="G831" t="inlineStr">
        <is>
          <t>feat/moc-associate-tasks</t>
        </is>
      </c>
      <c r="H831" t="inlineStr">
        <is>
          <t>sprint-19</t>
        </is>
      </c>
      <c r="I831" t="inlineStr">
        <is>
          <t>merged</t>
        </is>
      </c>
      <c r="J831" t="inlineStr"/>
      <c r="K831" t="inlineStr"/>
      <c r="L831" t="inlineStr"/>
      <c r="M831" t="inlineStr"/>
      <c r="N831" t="inlineStr"/>
      <c r="O831" t="inlineStr"/>
      <c r="P831" t="inlineStr"/>
      <c r="Q831" t="inlineStr"/>
    </row>
    <row r="832">
      <c r="A832" t="inlineStr">
        <is>
          <t>pratham.k</t>
        </is>
      </c>
      <c r="B832" t="inlineStr">
        <is>
          <t>Pratham Kancharlawar</t>
        </is>
      </c>
      <c r="C832" t="inlineStr">
        <is>
          <t>pratham.k@osmosys.co</t>
        </is>
      </c>
      <c r="D832" t="inlineStr">
        <is>
          <t>incident-reporter</t>
        </is>
      </c>
      <c r="E832">
        <f>HYPERLINK("http://gitlab.osmosys.co/incident-reporter/incident-reporter-api", "OQSHA-API")</f>
        <v/>
      </c>
      <c r="F832">
        <f>HYPERLINK("http://gitlab.osmosys.co/incident-reporter/incident-reporter-api/-/merge_requests/4415", "feat: add fir incident management incident categories get api")</f>
        <v/>
      </c>
      <c r="G832" t="inlineStr">
        <is>
          <t>feat/incident-management-incident-categories</t>
        </is>
      </c>
      <c r="H832" t="inlineStr">
        <is>
          <t>sprint-19</t>
        </is>
      </c>
      <c r="I832" t="inlineStr">
        <is>
          <t>opened</t>
        </is>
      </c>
      <c r="J832" t="inlineStr"/>
      <c r="K832" t="inlineStr"/>
      <c r="L832" t="inlineStr"/>
      <c r="M832" t="inlineStr"/>
      <c r="N832" t="inlineStr"/>
      <c r="O832" t="inlineStr"/>
      <c r="P832" t="inlineStr"/>
      <c r="Q832" t="inlineStr"/>
    </row>
    <row r="833">
      <c r="A833" t="inlineStr">
        <is>
          <t>pratham.k</t>
        </is>
      </c>
      <c r="B833" t="inlineStr">
        <is>
          <t>Pratham Kancharlawar</t>
        </is>
      </c>
      <c r="C833" t="inlineStr">
        <is>
          <t>pratham.k@osmosys.co</t>
        </is>
      </c>
      <c r="D833" t="inlineStr">
        <is>
          <t>incident-reporter</t>
        </is>
      </c>
      <c r="E833">
        <f>HYPERLINK("http://gitlab.osmosys.co/incident-reporter/incident-reporter-api", "OQSHA-API")</f>
        <v/>
      </c>
      <c r="F833">
        <f>HYPERLINK("http://gitlab.osmosys.co/incident-reporter/incident-reporter-api/-/merge_requests/4412", "feat: add api to fetch incident injuries")</f>
        <v/>
      </c>
      <c r="G833" t="inlineStr">
        <is>
          <t>feat/add-get-level-of-injuries</t>
        </is>
      </c>
      <c r="H833" t="inlineStr">
        <is>
          <t>sprint-19</t>
        </is>
      </c>
      <c r="I833" t="inlineStr">
        <is>
          <t>opened</t>
        </is>
      </c>
      <c r="J833" t="inlineStr"/>
      <c r="K833" t="inlineStr"/>
      <c r="L833" t="inlineStr"/>
      <c r="M833" t="inlineStr"/>
      <c r="N833" t="inlineStr"/>
      <c r="O833" t="inlineStr"/>
      <c r="P833" t="inlineStr"/>
      <c r="Q833" t="inlineStr"/>
    </row>
    <row r="834">
      <c r="A834" t="inlineStr">
        <is>
          <t>pratham.k</t>
        </is>
      </c>
      <c r="B834" t="inlineStr">
        <is>
          <t>Pratham Kancharlawar</t>
        </is>
      </c>
      <c r="C834" t="inlineStr">
        <is>
          <t>pratham.k@osmosys.co</t>
        </is>
      </c>
      <c r="D834" t="inlineStr">
        <is>
          <t>incident-reporter</t>
        </is>
      </c>
      <c r="E834">
        <f>HYPERLINK("http://gitlab.osmosys.co/incident-reporter/incident-reporter-api", "OQSHA-API")</f>
        <v/>
      </c>
      <c r="F834">
        <f>HYPERLINK("http://gitlab.osmosys.co/incident-reporter/incident-reporter-api/-/merge_requests/4408", "feat: add incident management files")</f>
        <v/>
      </c>
      <c r="G834" t="inlineStr">
        <is>
          <t>feat/incident-management-files</t>
        </is>
      </c>
      <c r="H834" t="inlineStr">
        <is>
          <t>sprint-19</t>
        </is>
      </c>
      <c r="I834" t="inlineStr">
        <is>
          <t>merged</t>
        </is>
      </c>
      <c r="J834" t="inlineStr"/>
      <c r="K834" t="inlineStr"/>
      <c r="L834" t="inlineStr"/>
      <c r="M834" t="inlineStr"/>
      <c r="N834" t="inlineStr"/>
      <c r="O834" t="inlineStr"/>
      <c r="P834" t="inlineStr"/>
      <c r="Q834" t="inlineStr"/>
    </row>
    <row r="835">
      <c r="A835" t="inlineStr">
        <is>
          <t>pratham.k</t>
        </is>
      </c>
      <c r="B835" t="inlineStr">
        <is>
          <t>Pratham Kancharlawar</t>
        </is>
      </c>
      <c r="C835" t="inlineStr">
        <is>
          <t>pratham.k@osmosys.co</t>
        </is>
      </c>
      <c r="D835" t="inlineStr">
        <is>
          <t>incident-reporter</t>
        </is>
      </c>
      <c r="E835">
        <f>HYPERLINK("http://gitlab.osmosys.co/incident-reporter/incident-reporter-api", "OQSHA-API")</f>
        <v/>
      </c>
      <c r="F835">
        <f>HYPERLINK("http://gitlab.osmosys.co/incident-reporter/incident-reporter-api/-/merge_requests/4398", "fix: update get pssr checks api to allow category as query param")</f>
        <v/>
      </c>
      <c r="G835" t="inlineStr">
        <is>
          <t>fix/pssr-checks-params</t>
        </is>
      </c>
      <c r="H835" t="inlineStr">
        <is>
          <t>sprint-18</t>
        </is>
      </c>
      <c r="I835" t="inlineStr">
        <is>
          <t>merged</t>
        </is>
      </c>
      <c r="J835" t="inlineStr"/>
      <c r="K835" t="inlineStr"/>
      <c r="L835" t="inlineStr"/>
      <c r="M835" t="inlineStr"/>
      <c r="N835" t="inlineStr"/>
      <c r="O835" t="inlineStr"/>
      <c r="P835" t="inlineStr"/>
      <c r="Q835" t="inlineStr"/>
    </row>
    <row r="836">
      <c r="A836" t="inlineStr">
        <is>
          <t>pratham.k</t>
        </is>
      </c>
      <c r="B836" t="inlineStr">
        <is>
          <t>Pratham Kancharlawar</t>
        </is>
      </c>
      <c r="C836" t="inlineStr">
        <is>
          <t>pratham.k@osmosys.co</t>
        </is>
      </c>
      <c r="D836" t="inlineStr">
        <is>
          <t>incident-reporter</t>
        </is>
      </c>
      <c r="E836">
        <f>HYPERLINK("http://gitlab.osmosys.co/incident-reporter/incident-reporter-api", "OQSHA-API")</f>
        <v/>
      </c>
      <c r="F836">
        <f>HYPERLINK("http://gitlab.osmosys.co/incident-reporter/incident-reporter-api/-/merge_requests/4386", "fix: update company exports api")</f>
        <v/>
      </c>
      <c r="G836" t="inlineStr">
        <is>
          <t>fix/company-export</t>
        </is>
      </c>
      <c r="H836" t="inlineStr">
        <is>
          <t>sprint-18</t>
        </is>
      </c>
      <c r="I836" t="inlineStr">
        <is>
          <t>closed</t>
        </is>
      </c>
      <c r="J836" t="inlineStr">
        <is>
          <t>f4b6e26fedc5f77377287f50561b00dfbd85e1f5</t>
        </is>
      </c>
      <c r="K836">
        <f>HYPERLINK("http://gitlab.osmosys.co/incident-reporter/incident-reporter-api/-/merge_requests/4386#note_245713", "Remove this")</f>
        <v/>
      </c>
      <c r="L836" t="inlineStr">
        <is>
          <t>2025-08-01 18:37:27.580 IST</t>
        </is>
      </c>
      <c r="M836" t="inlineStr">
        <is>
          <t>Kumar Samarjeet</t>
        </is>
      </c>
      <c r="N836" t="inlineStr">
        <is>
          <t>Yes</t>
        </is>
      </c>
      <c r="O836" t="inlineStr">
        <is>
          <t>No</t>
        </is>
      </c>
      <c r="P836" t="inlineStr"/>
      <c r="Q836" t="inlineStr">
        <is>
          <t>Bad</t>
        </is>
      </c>
    </row>
    <row r="837">
      <c r="A837" t="inlineStr">
        <is>
          <t>pratham.k</t>
        </is>
      </c>
      <c r="B837" t="inlineStr">
        <is>
          <t>Pratham Kancharlawar</t>
        </is>
      </c>
      <c r="C837" t="inlineStr">
        <is>
          <t>pratham.k@osmosys.co</t>
        </is>
      </c>
      <c r="D837" t="inlineStr">
        <is>
          <t>incident-reporter</t>
        </is>
      </c>
      <c r="E837">
        <f>HYPERLINK("http://gitlab.osmosys.co/incident-reporter/incident-reporter-api", "OQSHA-API")</f>
        <v/>
      </c>
      <c r="F837">
        <f>HYPERLINK("http://gitlab.osmosys.co/incident-reporter/incident-reporter-api/-/merge_requests/4383", "fix: add back removed property in pssr history")</f>
        <v/>
      </c>
      <c r="G837" t="inlineStr">
        <is>
          <t>fix/pssr-history</t>
        </is>
      </c>
      <c r="H837" t="inlineStr">
        <is>
          <t>sprint-18</t>
        </is>
      </c>
      <c r="I837" t="inlineStr">
        <is>
          <t>merged</t>
        </is>
      </c>
      <c r="J837" t="inlineStr"/>
      <c r="K837" t="inlineStr"/>
      <c r="L837" t="inlineStr"/>
      <c r="M837" t="inlineStr"/>
      <c r="N837" t="inlineStr"/>
      <c r="O837" t="inlineStr"/>
      <c r="P837" t="inlineStr"/>
      <c r="Q837" t="inlineStr"/>
    </row>
    <row r="838">
      <c r="A838" t="inlineStr">
        <is>
          <t>pratham.k</t>
        </is>
      </c>
      <c r="B838" t="inlineStr">
        <is>
          <t>Pratham Kancharlawar</t>
        </is>
      </c>
      <c r="C838" t="inlineStr">
        <is>
          <t>pratham.k@osmosys.co</t>
        </is>
      </c>
      <c r="D838" t="inlineStr">
        <is>
          <t>incident-reporter</t>
        </is>
      </c>
      <c r="E838">
        <f>HYPERLINK("http://gitlab.osmosys.co/incident-reporter/incident-reporter-api", "OQSHA-API")</f>
        <v/>
      </c>
      <c r="F838">
        <f>HYPERLINK("http://gitlab.osmosys.co/incident-reporter/incident-reporter-api/-/merge_requests/4378", "feat: notify assignees when inspection is scheduled using asset maintenance")</f>
        <v/>
      </c>
      <c r="G838" t="inlineStr">
        <is>
          <t>feat/asset-maintenance-role-notify</t>
        </is>
      </c>
      <c r="H838" t="inlineStr">
        <is>
          <t>sprint-19</t>
        </is>
      </c>
      <c r="I838" t="inlineStr">
        <is>
          <t>merged</t>
        </is>
      </c>
      <c r="J838" t="inlineStr">
        <is>
          <t>fe11ea29ba04126e7329662317351d41d192880f</t>
        </is>
      </c>
      <c r="K838">
        <f>HYPERLINK("http://gitlab.osmosys.co/incident-reporter/incident-reporter-api/-/merge_requests/4378#note_245417", "Why for this alias name has been added?
If you are adding alias name then add for all")</f>
        <v/>
      </c>
      <c r="L838" t="inlineStr">
        <is>
          <t>2025-08-01 14:46:33.953 IST</t>
        </is>
      </c>
      <c r="M838" t="inlineStr">
        <is>
          <t>Kumar Samarjeet</t>
        </is>
      </c>
      <c r="N838" t="inlineStr">
        <is>
          <t>Yes</t>
        </is>
      </c>
      <c r="O838" t="inlineStr">
        <is>
          <t>Yes</t>
        </is>
      </c>
      <c r="P838" t="inlineStr">
        <is>
          <t>Sameer Shaik</t>
        </is>
      </c>
      <c r="Q838" t="inlineStr">
        <is>
          <t>Neutral</t>
        </is>
      </c>
    </row>
    <row r="839">
      <c r="A839" t="inlineStr">
        <is>
          <t>pratham.k</t>
        </is>
      </c>
      <c r="B839" t="inlineStr">
        <is>
          <t>Pratham Kancharlawar</t>
        </is>
      </c>
      <c r="C839" t="inlineStr">
        <is>
          <t>pratham.k@osmosys.co</t>
        </is>
      </c>
      <c r="D839" t="inlineStr">
        <is>
          <t>incident-reporter</t>
        </is>
      </c>
      <c r="E839">
        <f>HYPERLINK("http://gitlab.osmosys.co/incident-reporter/incident-reporter-api", "OQSHA-API")</f>
        <v/>
      </c>
      <c r="F839">
        <f>HYPERLINK("http://gitlab.osmosys.co/incident-reporter/incident-reporter-api/-/merge_requests/4378", "feat: notify assignees when inspection is scheduled using asset maintenance")</f>
        <v/>
      </c>
      <c r="G839" t="inlineStr">
        <is>
          <t>feat/asset-maintenance-role-notify</t>
        </is>
      </c>
      <c r="H839" t="inlineStr">
        <is>
          <t>sprint-19</t>
        </is>
      </c>
      <c r="I839" t="inlineStr">
        <is>
          <t>merged</t>
        </is>
      </c>
      <c r="J839" t="inlineStr">
        <is>
          <t>fe11ea29ba04126e7329662317351d41d192880f</t>
        </is>
      </c>
      <c r="K839">
        <f>HYPERLINK("http://gitlab.osmosys.co/incident-reporter/incident-reporter-api/-/merge_requests/4378#note_245814", "Added alias")</f>
        <v/>
      </c>
      <c r="L839" t="inlineStr">
        <is>
          <t>2025-08-01 19:39:36.908 IST</t>
        </is>
      </c>
      <c r="M839" t="inlineStr">
        <is>
          <t>Pratham Kancharlawar</t>
        </is>
      </c>
      <c r="N839" t="inlineStr">
        <is>
          <t>No</t>
        </is>
      </c>
      <c r="O839" t="inlineStr">
        <is>
          <t>Yes</t>
        </is>
      </c>
      <c r="P839" t="inlineStr">
        <is>
          <t>Sameer Shaik</t>
        </is>
      </c>
      <c r="Q839" t="inlineStr">
        <is>
          <t>Neutral</t>
        </is>
      </c>
    </row>
    <row r="840">
      <c r="A840" t="inlineStr">
        <is>
          <t>pratham.k</t>
        </is>
      </c>
      <c r="B840" t="inlineStr">
        <is>
          <t>Pratham Kancharlawar</t>
        </is>
      </c>
      <c r="C840" t="inlineStr">
        <is>
          <t>pratham.k@osmosys.co</t>
        </is>
      </c>
      <c r="D840" t="inlineStr">
        <is>
          <t>incident-reporter</t>
        </is>
      </c>
      <c r="E840">
        <f>HYPERLINK("http://gitlab.osmosys.co/incident-reporter/incident-reporter-api", "OQSHA-API")</f>
        <v/>
      </c>
      <c r="F840">
        <f>HYPERLINK("http://gitlab.osmosys.co/incident-reporter/incident-reporter-api/-/merge_requests/4378", "feat: notify assignees when inspection is scheduled using asset maintenance")</f>
        <v/>
      </c>
      <c r="G840" t="inlineStr">
        <is>
          <t>feat/asset-maintenance-role-notify</t>
        </is>
      </c>
      <c r="H840" t="inlineStr">
        <is>
          <t>sprint-19</t>
        </is>
      </c>
      <c r="I840" t="inlineStr">
        <is>
          <t>merged</t>
        </is>
      </c>
      <c r="J840" t="inlineStr">
        <is>
          <t>485fbabcd93733f7271d791772f8f96fde6746b1</t>
        </is>
      </c>
      <c r="K840">
        <f>HYPERLINK("http://gitlab.osmosys.co/incident-reporter/incident-reporter-api/-/merge_requests/4378#note_245418", "Remove this")</f>
        <v/>
      </c>
      <c r="L840" t="inlineStr">
        <is>
          <t>2025-08-01 14:46:34.055 IST</t>
        </is>
      </c>
      <c r="M840" t="inlineStr">
        <is>
          <t>Kumar Samarjeet</t>
        </is>
      </c>
      <c r="N840" t="inlineStr">
        <is>
          <t>Yes</t>
        </is>
      </c>
      <c r="O840" t="inlineStr">
        <is>
          <t>Yes</t>
        </is>
      </c>
      <c r="P840" t="inlineStr">
        <is>
          <t>Sameer Shaik</t>
        </is>
      </c>
      <c r="Q840" t="inlineStr">
        <is>
          <t>Bad</t>
        </is>
      </c>
    </row>
    <row r="841">
      <c r="A841" t="inlineStr">
        <is>
          <t>pratham.k</t>
        </is>
      </c>
      <c r="B841" t="inlineStr">
        <is>
          <t>Pratham Kancharlawar</t>
        </is>
      </c>
      <c r="C841" t="inlineStr">
        <is>
          <t>pratham.k@osmosys.co</t>
        </is>
      </c>
      <c r="D841" t="inlineStr">
        <is>
          <t>incident-reporter</t>
        </is>
      </c>
      <c r="E841">
        <f>HYPERLINK("http://gitlab.osmosys.co/incident-reporter/incident-reporter-api", "OQSHA-API")</f>
        <v/>
      </c>
      <c r="F841">
        <f>HYPERLINK("http://gitlab.osmosys.co/incident-reporter/incident-reporter-api/-/merge_requests/4378", "feat: notify assignees when inspection is scheduled using asset maintenance")</f>
        <v/>
      </c>
      <c r="G841" t="inlineStr">
        <is>
          <t>feat/asset-maintenance-role-notify</t>
        </is>
      </c>
      <c r="H841" t="inlineStr">
        <is>
          <t>sprint-19</t>
        </is>
      </c>
      <c r="I841" t="inlineStr">
        <is>
          <t>merged</t>
        </is>
      </c>
      <c r="J841" t="inlineStr">
        <is>
          <t>485fbabcd93733f7271d791772f8f96fde6746b1</t>
        </is>
      </c>
      <c r="K841">
        <f>HYPERLINK("http://gitlab.osmosys.co/incident-reporter/incident-reporter-api/-/merge_requests/4378#note_245815", "Removed unwanted code")</f>
        <v/>
      </c>
      <c r="L841" t="inlineStr">
        <is>
          <t>2025-08-01 19:39:48.054 IST</t>
        </is>
      </c>
      <c r="M841" t="inlineStr">
        <is>
          <t>Pratham Kancharlawar</t>
        </is>
      </c>
      <c r="N841" t="inlineStr">
        <is>
          <t>No</t>
        </is>
      </c>
      <c r="O841" t="inlineStr">
        <is>
          <t>Yes</t>
        </is>
      </c>
      <c r="P841" t="inlineStr">
        <is>
          <t>Sameer Shaik</t>
        </is>
      </c>
      <c r="Q841" t="inlineStr">
        <is>
          <t>Bad</t>
        </is>
      </c>
    </row>
    <row r="842">
      <c r="A842" t="inlineStr">
        <is>
          <t>pratham.k</t>
        </is>
      </c>
      <c r="B842" t="inlineStr">
        <is>
          <t>Pratham Kancharlawar</t>
        </is>
      </c>
      <c r="C842" t="inlineStr">
        <is>
          <t>pratham.k@osmosys.co</t>
        </is>
      </c>
      <c r="D842" t="inlineStr">
        <is>
          <t>incident-reporter</t>
        </is>
      </c>
      <c r="E842">
        <f>HYPERLINK("http://gitlab.osmosys.co/incident-reporter/incident-reporter-api", "OQSHA-API")</f>
        <v/>
      </c>
      <c r="F842">
        <f>HYPERLINK("http://gitlab.osmosys.co/incident-reporter/incident-reporter-api/-/merge_requests/4378", "feat: notify assignees when inspection is scheduled using asset maintenance")</f>
        <v/>
      </c>
      <c r="G842" t="inlineStr">
        <is>
          <t>feat/asset-maintenance-role-notify</t>
        </is>
      </c>
      <c r="H842" t="inlineStr">
        <is>
          <t>sprint-19</t>
        </is>
      </c>
      <c r="I842" t="inlineStr">
        <is>
          <t>merged</t>
        </is>
      </c>
      <c r="J842" t="inlineStr">
        <is>
          <t>ff986ac7a6689df7290d1c4055d88487e327a203</t>
        </is>
      </c>
      <c r="K842">
        <f>HYPERLINK("http://gitlab.osmosys.co/incident-reporter/incident-reporter-api/-/merge_requests/4378#note_245419", "It is site right? It can never be null")</f>
        <v/>
      </c>
      <c r="L842" t="inlineStr">
        <is>
          <t>2025-08-01 14:46:34.111 IST</t>
        </is>
      </c>
      <c r="M842" t="inlineStr">
        <is>
          <t>Kumar Samarjeet</t>
        </is>
      </c>
      <c r="N842" t="inlineStr">
        <is>
          <t>Yes</t>
        </is>
      </c>
      <c r="O842" t="inlineStr">
        <is>
          <t>Yes</t>
        </is>
      </c>
      <c r="P842" t="inlineStr">
        <is>
          <t>Sameer Shaik</t>
        </is>
      </c>
      <c r="Q842" t="inlineStr">
        <is>
          <t>Bad</t>
        </is>
      </c>
    </row>
    <row r="843">
      <c r="A843" t="inlineStr">
        <is>
          <t>pratham.k</t>
        </is>
      </c>
      <c r="B843" t="inlineStr">
        <is>
          <t>Pratham Kancharlawar</t>
        </is>
      </c>
      <c r="C843" t="inlineStr">
        <is>
          <t>pratham.k@osmosys.co</t>
        </is>
      </c>
      <c r="D843" t="inlineStr">
        <is>
          <t>incident-reporter</t>
        </is>
      </c>
      <c r="E843">
        <f>HYPERLINK("http://gitlab.osmosys.co/incident-reporter/incident-reporter-api", "OQSHA-API")</f>
        <v/>
      </c>
      <c r="F843">
        <f>HYPERLINK("http://gitlab.osmosys.co/incident-reporter/incident-reporter-api/-/merge_requests/4378", "feat: notify assignees when inspection is scheduled using asset maintenance")</f>
        <v/>
      </c>
      <c r="G843" t="inlineStr">
        <is>
          <t>feat/asset-maintenance-role-notify</t>
        </is>
      </c>
      <c r="H843" t="inlineStr">
        <is>
          <t>sprint-19</t>
        </is>
      </c>
      <c r="I843" t="inlineStr">
        <is>
          <t>merged</t>
        </is>
      </c>
      <c r="J843" t="inlineStr">
        <is>
          <t>ff986ac7a6689df7290d1c4055d88487e327a203</t>
        </is>
      </c>
      <c r="K843">
        <f>HYPERLINK("http://gitlab.osmosys.co/incident-reporter/incident-reporter-api/-/merge_requests/4378#note_245816", "Removed default value")</f>
        <v/>
      </c>
      <c r="L843" t="inlineStr">
        <is>
          <t>2025-08-01 19:40:01.167 IST</t>
        </is>
      </c>
      <c r="M843" t="inlineStr">
        <is>
          <t>Pratham Kancharlawar</t>
        </is>
      </c>
      <c r="N843" t="inlineStr">
        <is>
          <t>No</t>
        </is>
      </c>
      <c r="O843" t="inlineStr">
        <is>
          <t>Yes</t>
        </is>
      </c>
      <c r="P843" t="inlineStr">
        <is>
          <t>Sameer Shaik</t>
        </is>
      </c>
      <c r="Q843" t="inlineStr">
        <is>
          <t>Bad</t>
        </is>
      </c>
    </row>
    <row r="844">
      <c r="A844" t="inlineStr">
        <is>
          <t>pratham.k</t>
        </is>
      </c>
      <c r="B844" t="inlineStr">
        <is>
          <t>Pratham Kancharlawar</t>
        </is>
      </c>
      <c r="C844" t="inlineStr">
        <is>
          <t>pratham.k@osmosys.co</t>
        </is>
      </c>
      <c r="D844" t="inlineStr">
        <is>
          <t>incident-reporter</t>
        </is>
      </c>
      <c r="E844">
        <f>HYPERLINK("http://gitlab.osmosys.co/incident-reporter/incident-reporter-api", "OQSHA-API")</f>
        <v/>
      </c>
      <c r="F844">
        <f>HYPERLINK("http://gitlab.osmosys.co/incident-reporter/incident-reporter-api/-/merge_requests/4369", "fix: update template body and pass required fields for reminders")</f>
        <v/>
      </c>
      <c r="G844" t="inlineStr">
        <is>
          <t>fix/inspection-email-body</t>
        </is>
      </c>
      <c r="H844" t="inlineStr">
        <is>
          <t>sprint-18</t>
        </is>
      </c>
      <c r="I844" t="inlineStr">
        <is>
          <t>merged</t>
        </is>
      </c>
      <c r="J844" t="inlineStr"/>
      <c r="K844" t="inlineStr"/>
      <c r="L844" t="inlineStr"/>
      <c r="M844" t="inlineStr"/>
      <c r="N844" t="inlineStr"/>
      <c r="O844" t="inlineStr"/>
      <c r="P844" t="inlineStr"/>
      <c r="Q844" t="inlineStr"/>
    </row>
    <row r="845">
      <c r="A845" t="inlineStr">
        <is>
          <t>pratham.k</t>
        </is>
      </c>
      <c r="B845" t="inlineStr">
        <is>
          <t>Pratham Kancharlawar</t>
        </is>
      </c>
      <c r="C845" t="inlineStr">
        <is>
          <t>pratham.k@osmosys.co</t>
        </is>
      </c>
      <c r="D845" t="inlineStr">
        <is>
          <t>incident-reporter</t>
        </is>
      </c>
      <c r="E845">
        <f>HYPERLINK("http://gitlab.osmosys.co/incident-reporter/incident-reporter-api", "OQSHA-API")</f>
        <v/>
      </c>
      <c r="F845">
        <f>HYPERLINK("http://gitlab.osmosys.co/incident-reporter/incident-reporter-api/-/merge_requests/4363", "feat: add null check in update pssr")</f>
        <v/>
      </c>
      <c r="G845" t="inlineStr">
        <is>
          <t>fix/pssr-checks</t>
        </is>
      </c>
      <c r="H845" t="inlineStr">
        <is>
          <t>sprint-18</t>
        </is>
      </c>
      <c r="I845" t="inlineStr">
        <is>
          <t>merged</t>
        </is>
      </c>
      <c r="J845" t="inlineStr"/>
      <c r="K845" t="inlineStr"/>
      <c r="L845" t="inlineStr"/>
      <c r="M845" t="inlineStr"/>
      <c r="N845" t="inlineStr"/>
      <c r="O845" t="inlineStr"/>
      <c r="P845" t="inlineStr"/>
      <c r="Q845" t="inlineStr"/>
    </row>
    <row r="846">
      <c r="A846" t="inlineStr">
        <is>
          <t>pratham.k</t>
        </is>
      </c>
      <c r="B846" t="inlineStr">
        <is>
          <t>Pratham Kancharlawar</t>
        </is>
      </c>
      <c r="C846" t="inlineStr">
        <is>
          <t>pratham.k@osmosys.co</t>
        </is>
      </c>
      <c r="D846" t="inlineStr">
        <is>
          <t>incident-reporter</t>
        </is>
      </c>
      <c r="E846">
        <f>HYPERLINK("http://gitlab.osmosys.co/incident-reporter/incident-reporter-api", "OQSHA-API")</f>
        <v/>
      </c>
      <c r="F846">
        <f>HYPERLINK("http://gitlab.osmosys.co/incident-reporter/incident-reporter-api/-/merge_requests/4348", "feat: add get pssr comments api")</f>
        <v/>
      </c>
      <c r="G846" t="inlineStr">
        <is>
          <t>feat/get-pssr-comments-api</t>
        </is>
      </c>
      <c r="H846" t="inlineStr">
        <is>
          <t>sprint-18</t>
        </is>
      </c>
      <c r="I846" t="inlineStr">
        <is>
          <t>merged</t>
        </is>
      </c>
      <c r="J846" t="inlineStr">
        <is>
          <t>7011dd466edbb56522e44c2813421494218083d4</t>
        </is>
      </c>
      <c r="K846">
        <f>HYPERLINK("http://gitlab.osmosys.co/incident-reporter/incident-reporter-api/-/merge_requests/4348#note_242088", "We don't need modified by, refer PTW history &amp; update it accordingly.")</f>
        <v/>
      </c>
      <c r="L846" t="inlineStr">
        <is>
          <t>2025-07-25 19:55:44.387 IST</t>
        </is>
      </c>
      <c r="M846" t="inlineStr">
        <is>
          <t>Sindhusha</t>
        </is>
      </c>
      <c r="N846" t="inlineStr">
        <is>
          <t>Yes</t>
        </is>
      </c>
      <c r="O846" t="inlineStr">
        <is>
          <t>Yes</t>
        </is>
      </c>
      <c r="P846" t="inlineStr">
        <is>
          <t>Sindhusha</t>
        </is>
      </c>
      <c r="Q846" t="inlineStr">
        <is>
          <t>Bad</t>
        </is>
      </c>
    </row>
    <row r="847">
      <c r="A847" t="inlineStr">
        <is>
          <t>pratham.k</t>
        </is>
      </c>
      <c r="B847" t="inlineStr">
        <is>
          <t>Pratham Kancharlawar</t>
        </is>
      </c>
      <c r="C847" t="inlineStr">
        <is>
          <t>pratham.k@osmosys.co</t>
        </is>
      </c>
      <c r="D847" t="inlineStr">
        <is>
          <t>incident-reporter</t>
        </is>
      </c>
      <c r="E847">
        <f>HYPERLINK("http://gitlab.osmosys.co/incident-reporter/incident-reporter-api", "OQSHA-API")</f>
        <v/>
      </c>
      <c r="F847">
        <f>HYPERLINK("http://gitlab.osmosys.co/incident-reporter/incident-reporter-api/-/merge_requests/4348", "feat: add get pssr comments api")</f>
        <v/>
      </c>
      <c r="G847" t="inlineStr">
        <is>
          <t>feat/get-pssr-comments-api</t>
        </is>
      </c>
      <c r="H847" t="inlineStr">
        <is>
          <t>sprint-18</t>
        </is>
      </c>
      <c r="I847" t="inlineStr">
        <is>
          <t>merged</t>
        </is>
      </c>
      <c r="J847" t="inlineStr">
        <is>
          <t>7011dd466edbb56522e44c2813421494218083d4</t>
        </is>
      </c>
      <c r="K847">
        <f>HYPERLINK("http://gitlab.osmosys.co/incident-reporter/incident-reporter-api/-/merge_requests/4348#note_242139", "Removed modified by, i asked UI developer he asked me to return all the fields which were present in the existing API")</f>
        <v/>
      </c>
      <c r="L847" t="inlineStr">
        <is>
          <t>2025-07-25 20:44:06.370 IST</t>
        </is>
      </c>
      <c r="M847" t="inlineStr">
        <is>
          <t>Pratham Kancharlawar</t>
        </is>
      </c>
      <c r="N847" t="inlineStr">
        <is>
          <t>No</t>
        </is>
      </c>
      <c r="O847" t="inlineStr">
        <is>
          <t>Yes</t>
        </is>
      </c>
      <c r="P847" t="inlineStr">
        <is>
          <t>Sindhusha</t>
        </is>
      </c>
      <c r="Q847" t="inlineStr">
        <is>
          <t>Bad</t>
        </is>
      </c>
    </row>
    <row r="848">
      <c r="A848" t="inlineStr">
        <is>
          <t>pratham.k</t>
        </is>
      </c>
      <c r="B848" t="inlineStr">
        <is>
          <t>Pratham Kancharlawar</t>
        </is>
      </c>
      <c r="C848" t="inlineStr">
        <is>
          <t>pratham.k@osmosys.co</t>
        </is>
      </c>
      <c r="D848" t="inlineStr">
        <is>
          <t>incident-reporter</t>
        </is>
      </c>
      <c r="E848">
        <f>HYPERLINK("http://gitlab.osmosys.co/incident-reporter/incident-reporter-api", "OQSHA-API")</f>
        <v/>
      </c>
      <c r="F848">
        <f>HYPERLINK("http://gitlab.osmosys.co/incident-reporter/incident-reporter-api/-/merge_requests/4348", "feat: add get pssr comments api")</f>
        <v/>
      </c>
      <c r="G848" t="inlineStr">
        <is>
          <t>feat/get-pssr-comments-api</t>
        </is>
      </c>
      <c r="H848" t="inlineStr">
        <is>
          <t>sprint-18</t>
        </is>
      </c>
      <c r="I848" t="inlineStr">
        <is>
          <t>merged</t>
        </is>
      </c>
      <c r="J848" t="inlineStr">
        <is>
          <t>7011dd466edbb56522e44c2813421494218083d4</t>
        </is>
      </c>
      <c r="K848">
        <f>HYPERLINK("http://gitlab.osmosys.co/incident-reporter/incident-reporter-api/-/merge_requests/4348#note_242213", "Why this is still there in your PR,
We cannot modify a comment
so modified by &amp; modified on doesn't make sense
FIX IT ASAP")</f>
        <v/>
      </c>
      <c r="L848" t="inlineStr">
        <is>
          <t>2025-07-25 22:20:07.445 IST</t>
        </is>
      </c>
      <c r="M848" t="inlineStr">
        <is>
          <t>Sindhusha</t>
        </is>
      </c>
      <c r="N848" t="inlineStr">
        <is>
          <t>Yes</t>
        </is>
      </c>
      <c r="O848" t="inlineStr">
        <is>
          <t>Yes</t>
        </is>
      </c>
      <c r="P848" t="inlineStr">
        <is>
          <t>Sindhusha</t>
        </is>
      </c>
      <c r="Q848" t="inlineStr">
        <is>
          <t>Bad</t>
        </is>
      </c>
    </row>
    <row r="849">
      <c r="A849" t="inlineStr">
        <is>
          <t>pratham.k</t>
        </is>
      </c>
      <c r="B849" t="inlineStr">
        <is>
          <t>Pratham Kancharlawar</t>
        </is>
      </c>
      <c r="C849" t="inlineStr">
        <is>
          <t>pratham.k@osmosys.co</t>
        </is>
      </c>
      <c r="D849" t="inlineStr">
        <is>
          <t>incident-reporter</t>
        </is>
      </c>
      <c r="E849">
        <f>HYPERLINK("http://gitlab.osmosys.co/incident-reporter/incident-reporter-api", "OQSHA-API")</f>
        <v/>
      </c>
      <c r="F849">
        <f>HYPERLINK("http://gitlab.osmosys.co/incident-reporter/incident-reporter-api/-/merge_requests/4348", "feat: add get pssr comments api")</f>
        <v/>
      </c>
      <c r="G849" t="inlineStr">
        <is>
          <t>feat/get-pssr-comments-api</t>
        </is>
      </c>
      <c r="H849" t="inlineStr">
        <is>
          <t>sprint-18</t>
        </is>
      </c>
      <c r="I849" t="inlineStr">
        <is>
          <t>merged</t>
        </is>
      </c>
      <c r="J849" t="inlineStr">
        <is>
          <t>7011dd466edbb56522e44c2813421494218083d4</t>
        </is>
      </c>
      <c r="K849">
        <f>HYPERLINK("http://gitlab.osmosys.co/incident-reporter/incident-reporter-api/-/merge_requests/4348#note_242216", "fixed")</f>
        <v/>
      </c>
      <c r="L849" t="inlineStr">
        <is>
          <t>2025-07-25 22:24:33.795 IST</t>
        </is>
      </c>
      <c r="M849" t="inlineStr">
        <is>
          <t>Pratham Kancharlawar</t>
        </is>
      </c>
      <c r="N849" t="inlineStr">
        <is>
          <t>No</t>
        </is>
      </c>
      <c r="O849" t="inlineStr">
        <is>
          <t>Yes</t>
        </is>
      </c>
      <c r="P849" t="inlineStr">
        <is>
          <t>Sindhusha</t>
        </is>
      </c>
      <c r="Q849" t="inlineStr">
        <is>
          <t>Bad</t>
        </is>
      </c>
    </row>
    <row r="850">
      <c r="A850" t="inlineStr">
        <is>
          <t>pratham.k</t>
        </is>
      </c>
      <c r="B850" t="inlineStr">
        <is>
          <t>Pratham Kancharlawar</t>
        </is>
      </c>
      <c r="C850" t="inlineStr">
        <is>
          <t>pratham.k@osmosys.co</t>
        </is>
      </c>
      <c r="D850" t="inlineStr">
        <is>
          <t>incident-reporter</t>
        </is>
      </c>
      <c r="E850">
        <f>HYPERLINK("http://gitlab.osmosys.co/incident-reporter/incident-reporter-api", "OQSHA-API")</f>
        <v/>
      </c>
      <c r="F850">
        <f>HYPERLINK("http://gitlab.osmosys.co/incident-reporter/incident-reporter-api/-/merge_requests/4329", "fix: update property name in moc filter")</f>
        <v/>
      </c>
      <c r="G850" t="inlineStr">
        <is>
          <t>fix/moc-filters</t>
        </is>
      </c>
      <c r="H850" t="inlineStr">
        <is>
          <t>sprint-17</t>
        </is>
      </c>
      <c r="I850" t="inlineStr">
        <is>
          <t>merged</t>
        </is>
      </c>
      <c r="J850" t="inlineStr"/>
      <c r="K850" t="inlineStr"/>
      <c r="L850" t="inlineStr"/>
      <c r="M850" t="inlineStr"/>
      <c r="N850" t="inlineStr"/>
      <c r="O850" t="inlineStr"/>
      <c r="P850" t="inlineStr"/>
      <c r="Q850" t="inlineStr"/>
    </row>
    <row r="851">
      <c r="A851" t="inlineStr">
        <is>
          <t>pratham.k</t>
        </is>
      </c>
      <c r="B851" t="inlineStr">
        <is>
          <t>Pratham Kancharlawar</t>
        </is>
      </c>
      <c r="C851" t="inlineStr">
        <is>
          <t>pratham.k@osmosys.co</t>
        </is>
      </c>
      <c r="D851" t="inlineStr">
        <is>
          <t>incident-reporter</t>
        </is>
      </c>
      <c r="E851">
        <f>HYPERLINK("http://gitlab.osmosys.co/incident-reporter/incident-reporter-api", "OQSHA-API")</f>
        <v/>
      </c>
      <c r="F851">
        <f>HYPERLINK("http://gitlab.osmosys.co/incident-reporter/incident-reporter-api/-/merge_requests/4324", "feat: add approvers list in export moc api")</f>
        <v/>
      </c>
      <c r="G851" t="inlineStr">
        <is>
          <t>feat/add-moc-approvers-export</t>
        </is>
      </c>
      <c r="H851" t="inlineStr">
        <is>
          <t>sprint-18</t>
        </is>
      </c>
      <c r="I851" t="inlineStr">
        <is>
          <t>merged</t>
        </is>
      </c>
      <c r="J851" t="inlineStr"/>
      <c r="K851" t="inlineStr"/>
      <c r="L851" t="inlineStr"/>
      <c r="M851" t="inlineStr"/>
      <c r="N851" t="inlineStr"/>
      <c r="O851" t="inlineStr"/>
      <c r="P851" t="inlineStr"/>
      <c r="Q851" t="inlineStr"/>
    </row>
    <row r="852">
      <c r="A852" t="inlineStr">
        <is>
          <t>pratham.k</t>
        </is>
      </c>
      <c r="B852" t="inlineStr">
        <is>
          <t>Pratham Kancharlawar</t>
        </is>
      </c>
      <c r="C852" t="inlineStr">
        <is>
          <t>pratham.k@osmosys.co</t>
        </is>
      </c>
      <c r="D852" t="inlineStr">
        <is>
          <t>incident-reporter</t>
        </is>
      </c>
      <c r="E852">
        <f>HYPERLINK("http://gitlab.osmosys.co/incident-reporter/incident-reporter-api", "OQSHA-API")</f>
        <v/>
      </c>
      <c r="F852">
        <f>HYPERLINK("http://gitlab.osmosys.co/incident-reporter/incident-reporter-api/-/merge_requests/4323", "fix: correct null check while exporting the library")</f>
        <v/>
      </c>
      <c r="G852" t="inlineStr">
        <is>
          <t>fix/library-exports</t>
        </is>
      </c>
      <c r="H852" t="inlineStr">
        <is>
          <t>sprint-17</t>
        </is>
      </c>
      <c r="I852" t="inlineStr">
        <is>
          <t>merged</t>
        </is>
      </c>
      <c r="J852" t="inlineStr"/>
      <c r="K852" t="inlineStr"/>
      <c r="L852" t="inlineStr"/>
      <c r="M852" t="inlineStr"/>
      <c r="N852" t="inlineStr"/>
      <c r="O852" t="inlineStr"/>
      <c r="P852" t="inlineStr"/>
      <c r="Q852" t="inlineStr"/>
    </row>
    <row r="853">
      <c r="A853" t="inlineStr">
        <is>
          <t>pratham.k</t>
        </is>
      </c>
      <c r="B853" t="inlineStr">
        <is>
          <t>Pratham Kancharlawar</t>
        </is>
      </c>
      <c r="C853" t="inlineStr">
        <is>
          <t>pratham.k@osmosys.co</t>
        </is>
      </c>
      <c r="D853" t="inlineStr">
        <is>
          <t>incident-reporter</t>
        </is>
      </c>
      <c r="E853">
        <f>HYPERLINK("http://gitlab.osmosys.co/incident-reporter/incident-reporter-api", "OQSHA-API")</f>
        <v/>
      </c>
      <c r="F853">
        <f>HYPERLINK("http://gitlab.osmosys.co/incident-reporter/incident-reporter-api/-/merge_requests/4320", "fix: correct column names in moc export api")</f>
        <v/>
      </c>
      <c r="G853" t="inlineStr">
        <is>
          <t>fix/moc-export-api</t>
        </is>
      </c>
      <c r="H853" t="inlineStr">
        <is>
          <t>sprint-18</t>
        </is>
      </c>
      <c r="I853" t="inlineStr">
        <is>
          <t>merged</t>
        </is>
      </c>
      <c r="J853" t="inlineStr"/>
      <c r="K853" t="inlineStr"/>
      <c r="L853" t="inlineStr"/>
      <c r="M853" t="inlineStr"/>
      <c r="N853" t="inlineStr"/>
      <c r="O853" t="inlineStr"/>
      <c r="P853" t="inlineStr"/>
      <c r="Q853" t="inlineStr"/>
    </row>
    <row r="854">
      <c r="A854" t="inlineStr">
        <is>
          <t>pratham.k</t>
        </is>
      </c>
      <c r="B854" t="inlineStr">
        <is>
          <t>Pratham Kancharlawar</t>
        </is>
      </c>
      <c r="C854" t="inlineStr">
        <is>
          <t>pratham.k@osmosys.co</t>
        </is>
      </c>
      <c r="D854" t="inlineStr">
        <is>
          <t>incident-reporter</t>
        </is>
      </c>
      <c r="E854">
        <f>HYPERLINK("http://gitlab.osmosys.co/incident-reporter/incident-reporter-api", "OQSHA-API")</f>
        <v/>
      </c>
      <c r="F854">
        <f>HYPERLINK("http://gitlab.osmosys.co/incident-reporter/incident-reporter-api/-/merge_requests/4319", "feat: add library export api")</f>
        <v/>
      </c>
      <c r="G854" t="inlineStr">
        <is>
          <t>feat/add-library-export</t>
        </is>
      </c>
      <c r="H854" t="inlineStr">
        <is>
          <t>sprint-17</t>
        </is>
      </c>
      <c r="I854" t="inlineStr">
        <is>
          <t>merged</t>
        </is>
      </c>
      <c r="J854" t="inlineStr"/>
      <c r="K854" t="inlineStr"/>
      <c r="L854" t="inlineStr"/>
      <c r="M854" t="inlineStr"/>
      <c r="N854" t="inlineStr"/>
      <c r="O854" t="inlineStr"/>
      <c r="P854" t="inlineStr"/>
      <c r="Q854" t="inlineStr"/>
    </row>
    <row r="855">
      <c r="A855" t="inlineStr">
        <is>
          <t>pratham.k</t>
        </is>
      </c>
      <c r="B855" t="inlineStr">
        <is>
          <t>Pratham Kancharlawar</t>
        </is>
      </c>
      <c r="C855" t="inlineStr">
        <is>
          <t>pratham.k@osmosys.co</t>
        </is>
      </c>
      <c r="D855" t="inlineStr">
        <is>
          <t>incident-reporter</t>
        </is>
      </c>
      <c r="E855">
        <f>HYPERLINK("http://gitlab.osmosys.co/incident-reporter/incident-reporter-api", "OQSHA-API")</f>
        <v/>
      </c>
      <c r="F855">
        <f>HYPERLINK("http://gitlab.osmosys.co/incident-reporter/incident-reporter-api/-/merge_requests/4300", "feat: add library export api")</f>
        <v/>
      </c>
      <c r="G855" t="inlineStr">
        <is>
          <t>fix/library-export</t>
        </is>
      </c>
      <c r="H855" t="inlineStr">
        <is>
          <t>sprint-18</t>
        </is>
      </c>
      <c r="I855" t="inlineStr">
        <is>
          <t>closed</t>
        </is>
      </c>
      <c r="J855" t="inlineStr"/>
      <c r="K855" t="inlineStr"/>
      <c r="L855" t="inlineStr"/>
      <c r="M855" t="inlineStr"/>
      <c r="N855" t="inlineStr"/>
      <c r="O855" t="inlineStr"/>
      <c r="P855" t="inlineStr"/>
      <c r="Q855" t="inlineStr"/>
    </row>
    <row r="856">
      <c r="A856" t="inlineStr">
        <is>
          <t>pratham.k</t>
        </is>
      </c>
      <c r="B856" t="inlineStr">
        <is>
          <t>Pratham Kancharlawar</t>
        </is>
      </c>
      <c r="C856" t="inlineStr">
        <is>
          <t>pratham.k@osmosys.co</t>
        </is>
      </c>
      <c r="D856" t="inlineStr">
        <is>
          <t>incident-reporter</t>
        </is>
      </c>
      <c r="E856">
        <f>HYPERLINK("http://gitlab.osmosys.co/incident-reporter/incident-reporter-api", "OQSHA-API")</f>
        <v/>
      </c>
      <c r="F856">
        <f>HYPERLINK("http://gitlab.osmosys.co/incident-reporter/incident-reporter-api/-/merge_requests/4292", "feat: update code to accept and fetch the pssr checks")</f>
        <v/>
      </c>
      <c r="G856" t="inlineStr">
        <is>
          <t>feat/pssr-checks</t>
        </is>
      </c>
      <c r="H856" t="inlineStr">
        <is>
          <t>sprint-18</t>
        </is>
      </c>
      <c r="I856" t="inlineStr">
        <is>
          <t>merged</t>
        </is>
      </c>
      <c r="J856" t="inlineStr"/>
      <c r="K856" t="inlineStr"/>
      <c r="L856" t="inlineStr"/>
      <c r="M856" t="inlineStr"/>
      <c r="N856" t="inlineStr"/>
      <c r="O856" t="inlineStr"/>
      <c r="P856" t="inlineStr"/>
      <c r="Q856" t="inlineStr"/>
    </row>
    <row r="857">
      <c r="A857" t="inlineStr">
        <is>
          <t>pratham.k</t>
        </is>
      </c>
      <c r="B857" t="inlineStr">
        <is>
          <t>Pratham Kancharlawar</t>
        </is>
      </c>
      <c r="C857" t="inlineStr">
        <is>
          <t>pratham.k@osmosys.co</t>
        </is>
      </c>
      <c r="D857" t="inlineStr">
        <is>
          <t>incident-reporter</t>
        </is>
      </c>
      <c r="E857">
        <f>HYPERLINK("http://gitlab.osmosys.co/incident-reporter/incident-reporter-api", "OQSHA-API")</f>
        <v/>
      </c>
      <c r="F857">
        <f>HYPERLINK("http://gitlab.osmosys.co/incident-reporter/incident-reporter-api/-/merge_requests/4289", "fix: remove duedate validation from auto task creation")</f>
        <v/>
      </c>
      <c r="G857" t="inlineStr">
        <is>
          <t>fix/auto-task-creation-duedate</t>
        </is>
      </c>
      <c r="H857" t="inlineStr">
        <is>
          <t>sprint-17</t>
        </is>
      </c>
      <c r="I857" t="inlineStr">
        <is>
          <t>merged</t>
        </is>
      </c>
      <c r="J857" t="inlineStr"/>
      <c r="K857" t="inlineStr"/>
      <c r="L857" t="inlineStr"/>
      <c r="M857" t="inlineStr"/>
      <c r="N857" t="inlineStr"/>
      <c r="O857" t="inlineStr"/>
      <c r="P857" t="inlineStr"/>
      <c r="Q857" t="inlineStr"/>
    </row>
    <row r="858">
      <c r="A858" t="inlineStr">
        <is>
          <t>pratham.k</t>
        </is>
      </c>
      <c r="B858" t="inlineStr">
        <is>
          <t>Pratham Kancharlawar</t>
        </is>
      </c>
      <c r="C858" t="inlineStr">
        <is>
          <t>pratham.k@osmosys.co</t>
        </is>
      </c>
      <c r="D858" t="inlineStr">
        <is>
          <t>incident-reporter</t>
        </is>
      </c>
      <c r="E858">
        <f>HYPERLINK("http://gitlab.osmosys.co/incident-reporter/incident-reporter-api", "OQSHA-API")</f>
        <v/>
      </c>
      <c r="F858">
        <f>HYPERLINK("http://gitlab.osmosys.co/incident-reporter/incident-reporter-api/-/merge_requests/4263", "feat: add migration to update locations in org")</f>
        <v/>
      </c>
      <c r="G858" t="inlineStr">
        <is>
          <t>feat/update-org-location</t>
        </is>
      </c>
      <c r="H858" t="inlineStr">
        <is>
          <t>sprint-17</t>
        </is>
      </c>
      <c r="I858" t="inlineStr">
        <is>
          <t>merged</t>
        </is>
      </c>
      <c r="J858" t="inlineStr"/>
      <c r="K858" t="inlineStr"/>
      <c r="L858" t="inlineStr"/>
      <c r="M858" t="inlineStr"/>
      <c r="N858" t="inlineStr"/>
      <c r="O858" t="inlineStr"/>
      <c r="P858" t="inlineStr"/>
      <c r="Q858" t="inlineStr"/>
    </row>
    <row r="859">
      <c r="A859" t="inlineStr">
        <is>
          <t>pratham.k</t>
        </is>
      </c>
      <c r="B859" t="inlineStr">
        <is>
          <t>Pratham Kancharlawar</t>
        </is>
      </c>
      <c r="C859" t="inlineStr">
        <is>
          <t>pratham.k@osmosys.co</t>
        </is>
      </c>
      <c r="D859" t="inlineStr">
        <is>
          <t>incident-reporter</t>
        </is>
      </c>
      <c r="E859">
        <f>HYPERLINK("http://gitlab.osmosys.co/incident-reporter/incident-reporter-api", "OQSHA-API")</f>
        <v/>
      </c>
      <c r="F859">
        <f>HYPERLINK("http://gitlab.osmosys.co/incident-reporter/incident-reporter-api/-/merge_requests/4253", "feat: add api to fetch fir by id")</f>
        <v/>
      </c>
      <c r="G859" t="inlineStr">
        <is>
          <t>feat/get-incident-management-by-id</t>
        </is>
      </c>
      <c r="H859" t="inlineStr">
        <is>
          <t>sprint-19</t>
        </is>
      </c>
      <c r="I859" t="inlineStr">
        <is>
          <t>opened</t>
        </is>
      </c>
      <c r="J859" t="inlineStr"/>
      <c r="K859" t="inlineStr"/>
      <c r="L859" t="inlineStr"/>
      <c r="M859" t="inlineStr"/>
      <c r="N859" t="inlineStr"/>
      <c r="O859" t="inlineStr"/>
      <c r="P859" t="inlineStr"/>
      <c r="Q859" t="inlineStr"/>
    </row>
    <row r="860">
      <c r="A860" t="inlineStr">
        <is>
          <t>pratham.k</t>
        </is>
      </c>
      <c r="B860" t="inlineStr">
        <is>
          <t>Pratham Kancharlawar</t>
        </is>
      </c>
      <c r="C860" t="inlineStr">
        <is>
          <t>pratham.k@osmosys.co</t>
        </is>
      </c>
      <c r="D860" t="inlineStr">
        <is>
          <t>incident-reporter</t>
        </is>
      </c>
      <c r="E860">
        <f>HYPERLINK("http://gitlab.osmosys.co/incident-reporter/incident-reporter-api", "OQSHA-API")</f>
        <v/>
      </c>
      <c r="F860">
        <f>HYPERLINK("http://gitlab.osmosys.co/incident-reporter/incident-reporter-api/-/merge_requests/4250", "feat: fetch lat lng from address in register api")</f>
        <v/>
      </c>
      <c r="G860" t="inlineStr">
        <is>
          <t>feat/registration-org</t>
        </is>
      </c>
      <c r="H860" t="inlineStr">
        <is>
          <t>sprint-17</t>
        </is>
      </c>
      <c r="I860" t="inlineStr">
        <is>
          <t>merged</t>
        </is>
      </c>
      <c r="J860" t="inlineStr">
        <is>
          <t>ca7664ffef1f4772ce5cadb490b1bd3e57934a89</t>
        </is>
      </c>
      <c r="K860">
        <f>HYPERLINK("http://gitlab.osmosys.co/incident-reporter/incident-reporter-api/-/merge_requests/4250#note_239443", "Are you storing this lat &amp; long in our table?")</f>
        <v/>
      </c>
      <c r="L860" t="inlineStr">
        <is>
          <t>2025-07-21 18:16:30.753 IST</t>
        </is>
      </c>
      <c r="M860" t="inlineStr">
        <is>
          <t>Sindhusha</t>
        </is>
      </c>
      <c r="N860" t="inlineStr">
        <is>
          <t>Yes</t>
        </is>
      </c>
      <c r="O860" t="inlineStr">
        <is>
          <t>Yes</t>
        </is>
      </c>
      <c r="P860" t="inlineStr">
        <is>
          <t>Sindhusha</t>
        </is>
      </c>
      <c r="Q860" t="inlineStr">
        <is>
          <t>Neutral</t>
        </is>
      </c>
    </row>
    <row r="861">
      <c r="A861" t="inlineStr">
        <is>
          <t>pratham.k</t>
        </is>
      </c>
      <c r="B861" t="inlineStr">
        <is>
          <t>Pratham Kancharlawar</t>
        </is>
      </c>
      <c r="C861" t="inlineStr">
        <is>
          <t>pratham.k@osmosys.co</t>
        </is>
      </c>
      <c r="D861" t="inlineStr">
        <is>
          <t>incident-reporter</t>
        </is>
      </c>
      <c r="E861">
        <f>HYPERLINK("http://gitlab.osmosys.co/incident-reporter/incident-reporter-api", "OQSHA-API")</f>
        <v/>
      </c>
      <c r="F861">
        <f>HYPERLINK("http://gitlab.osmosys.co/incident-reporter/incident-reporter-api/-/merge_requests/4250", "feat: fetch lat lng from address in register api")</f>
        <v/>
      </c>
      <c r="G861" t="inlineStr">
        <is>
          <t>feat/registration-org</t>
        </is>
      </c>
      <c r="H861" t="inlineStr">
        <is>
          <t>sprint-17</t>
        </is>
      </c>
      <c r="I861" t="inlineStr">
        <is>
          <t>merged</t>
        </is>
      </c>
      <c r="J861" t="inlineStr">
        <is>
          <t>ca7664ffef1f4772ce5cadb490b1bd3e57934a89</t>
        </is>
      </c>
      <c r="K861">
        <f>HYPERLINK("http://gitlab.osmosys.co/incident-reporter/incident-reporter-api/-/merge_requests/4250#note_239455", "Yes, this is storing in the centre column")</f>
        <v/>
      </c>
      <c r="L861" t="inlineStr">
        <is>
          <t>2025-07-21 18:28:58.920 IST</t>
        </is>
      </c>
      <c r="M861" t="inlineStr">
        <is>
          <t>Pratham Kancharlawar</t>
        </is>
      </c>
      <c r="N861" t="inlineStr">
        <is>
          <t>No</t>
        </is>
      </c>
      <c r="O861" t="inlineStr">
        <is>
          <t>Yes</t>
        </is>
      </c>
      <c r="P861" t="inlineStr">
        <is>
          <t>Sindhusha</t>
        </is>
      </c>
      <c r="Q861" t="inlineStr">
        <is>
          <t>Neutral</t>
        </is>
      </c>
    </row>
    <row r="862">
      <c r="A862" t="inlineStr">
        <is>
          <t>pratham.k</t>
        </is>
      </c>
      <c r="B862" t="inlineStr">
        <is>
          <t>Pratham Kancharlawar</t>
        </is>
      </c>
      <c r="C862" t="inlineStr">
        <is>
          <t>pratham.k@osmosys.co</t>
        </is>
      </c>
      <c r="D862" t="inlineStr">
        <is>
          <t>incident-reporter</t>
        </is>
      </c>
      <c r="E862">
        <f>HYPERLINK("http://gitlab.osmosys.co/incident-reporter/incident-reporter-api", "OQSHA-API")</f>
        <v/>
      </c>
      <c r="F862">
        <f>HYPERLINK("http://gitlab.osmosys.co/incident-reporter/incident-reporter-api/-/merge_requests/4250", "feat: fetch lat lng from address in register api")</f>
        <v/>
      </c>
      <c r="G862" t="inlineStr">
        <is>
          <t>feat/registration-org</t>
        </is>
      </c>
      <c r="H862" t="inlineStr">
        <is>
          <t>sprint-17</t>
        </is>
      </c>
      <c r="I862" t="inlineStr">
        <is>
          <t>merged</t>
        </is>
      </c>
      <c r="J862" t="inlineStr">
        <is>
          <t>363c5804926bd61b42a8897b0b9b35e0d0fe9fa4</t>
        </is>
      </c>
      <c r="K862">
        <f>HYPERLINK("http://gitlab.osmosys.co/incident-reporter/incident-reporter-api/-/merge_requests/4250#note_239444", "remove this &amp; directly use "using IncidentReporter.DAL.Models;" everywhere")</f>
        <v/>
      </c>
      <c r="L862" t="inlineStr">
        <is>
          <t>2025-07-21 18:16:36.760 IST</t>
        </is>
      </c>
      <c r="M862" t="inlineStr">
        <is>
          <t>Sindhusha</t>
        </is>
      </c>
      <c r="N862" t="inlineStr">
        <is>
          <t>Yes</t>
        </is>
      </c>
      <c r="O862" t="inlineStr">
        <is>
          <t>Yes</t>
        </is>
      </c>
      <c r="P862" t="inlineStr">
        <is>
          <t>Sindhusha</t>
        </is>
      </c>
      <c r="Q862" t="inlineStr">
        <is>
          <t>Bad</t>
        </is>
      </c>
    </row>
    <row r="863">
      <c r="A863" t="inlineStr">
        <is>
          <t>pratham.k</t>
        </is>
      </c>
      <c r="B863" t="inlineStr">
        <is>
          <t>Pratham Kancharlawar</t>
        </is>
      </c>
      <c r="C863" t="inlineStr">
        <is>
          <t>pratham.k@osmosys.co</t>
        </is>
      </c>
      <c r="D863" t="inlineStr">
        <is>
          <t>incident-reporter</t>
        </is>
      </c>
      <c r="E863">
        <f>HYPERLINK("http://gitlab.osmosys.co/incident-reporter/incident-reporter-api", "OQSHA-API")</f>
        <v/>
      </c>
      <c r="F863">
        <f>HYPERLINK("http://gitlab.osmosys.co/incident-reporter/incident-reporter-api/-/merge_requests/4250", "feat: fetch lat lng from address in register api")</f>
        <v/>
      </c>
      <c r="G863" t="inlineStr">
        <is>
          <t>feat/registration-org</t>
        </is>
      </c>
      <c r="H863" t="inlineStr">
        <is>
          <t>sprint-17</t>
        </is>
      </c>
      <c r="I863" t="inlineStr">
        <is>
          <t>merged</t>
        </is>
      </c>
      <c r="J863" t="inlineStr">
        <is>
          <t>363c5804926bd61b42a8897b0b9b35e0d0fe9fa4</t>
        </is>
      </c>
      <c r="K863">
        <f>HYPERLINK("http://gitlab.osmosys.co/incident-reporter/incident-reporter-api/-/merge_requests/4250#note_239454", "We cant use that directly it is showing ambiguity
![image](/uploads/07bd7b635ad9536ee02b8d4df5231d4a/image.png){width=480 height=72}")</f>
        <v/>
      </c>
      <c r="L863" t="inlineStr">
        <is>
          <t>2025-07-21 18:27:05.984 IST</t>
        </is>
      </c>
      <c r="M863" t="inlineStr">
        <is>
          <t>Pratham Kancharlawar</t>
        </is>
      </c>
      <c r="N863" t="inlineStr">
        <is>
          <t>No</t>
        </is>
      </c>
      <c r="O863" t="inlineStr">
        <is>
          <t>Yes</t>
        </is>
      </c>
      <c r="P863" t="inlineStr">
        <is>
          <t>Sindhusha</t>
        </is>
      </c>
      <c r="Q863" t="inlineStr">
        <is>
          <t>Bad</t>
        </is>
      </c>
    </row>
    <row r="864">
      <c r="A864" t="inlineStr">
        <is>
          <t>pratham.k</t>
        </is>
      </c>
      <c r="B864" t="inlineStr">
        <is>
          <t>Pratham Kancharlawar</t>
        </is>
      </c>
      <c r="C864" t="inlineStr">
        <is>
          <t>pratham.k@osmosys.co</t>
        </is>
      </c>
      <c r="D864" t="inlineStr">
        <is>
          <t>incident-reporter</t>
        </is>
      </c>
      <c r="E864">
        <f>HYPERLINK("http://gitlab.osmosys.co/incident-reporter/incident-reporter-api", "OQSHA-API")</f>
        <v/>
      </c>
      <c r="F864">
        <f>HYPERLINK("http://gitlab.osmosys.co/incident-reporter/incident-reporter-api/-/merge_requests/4241", "fix: add the condition to check previous status")</f>
        <v/>
      </c>
      <c r="G864" t="inlineStr">
        <is>
          <t>fix/auto-task-creation</t>
        </is>
      </c>
      <c r="H864" t="inlineStr">
        <is>
          <t>sprint-17</t>
        </is>
      </c>
      <c r="I864" t="inlineStr">
        <is>
          <t>merged</t>
        </is>
      </c>
      <c r="J864" t="inlineStr"/>
      <c r="K864" t="inlineStr"/>
      <c r="L864" t="inlineStr"/>
      <c r="M864" t="inlineStr"/>
      <c r="N864" t="inlineStr"/>
      <c r="O864" t="inlineStr"/>
      <c r="P864" t="inlineStr"/>
      <c r="Q864" t="inlineStr"/>
    </row>
    <row r="865">
      <c r="A865" t="inlineStr">
        <is>
          <t>pratham.k</t>
        </is>
      </c>
      <c r="B865" t="inlineStr">
        <is>
          <t>Pratham Kancharlawar</t>
        </is>
      </c>
      <c r="C865" t="inlineStr">
        <is>
          <t>pratham.k@osmosys.co</t>
        </is>
      </c>
      <c r="D865" t="inlineStr">
        <is>
          <t>incident-reporter</t>
        </is>
      </c>
      <c r="E865">
        <f>HYPERLINK("http://gitlab.osmosys.co/incident-reporter/incident-reporter-api", "OQSHA-API")</f>
        <v/>
      </c>
      <c r="F865">
        <f>HYPERLINK("http://gitlab.osmosys.co/incident-reporter/incident-reporter-api/-/merge_requests/4240", "fix: correct desciption for the auto generated task")</f>
        <v/>
      </c>
      <c r="G865" t="inlineStr">
        <is>
          <t>fix/auto-task-creation</t>
        </is>
      </c>
      <c r="H865" t="inlineStr">
        <is>
          <t>sprint-17</t>
        </is>
      </c>
      <c r="I865" t="inlineStr">
        <is>
          <t>merged</t>
        </is>
      </c>
      <c r="J865" t="inlineStr"/>
      <c r="K865" t="inlineStr"/>
      <c r="L865" t="inlineStr"/>
      <c r="M865" t="inlineStr"/>
      <c r="N865" t="inlineStr"/>
      <c r="O865" t="inlineStr"/>
      <c r="P865" t="inlineStr"/>
      <c r="Q865" t="inlineStr"/>
    </row>
    <row r="866">
      <c r="A866" t="inlineStr">
        <is>
          <t>pratham.k</t>
        </is>
      </c>
      <c r="B866" t="inlineStr">
        <is>
          <t>Pratham Kancharlawar</t>
        </is>
      </c>
      <c r="C866" t="inlineStr">
        <is>
          <t>pratham.k@osmosys.co</t>
        </is>
      </c>
      <c r="D866" t="inlineStr">
        <is>
          <t>incident-reporter</t>
        </is>
      </c>
      <c r="E866">
        <f>HYPERLINK("http://gitlab.osmosys.co/incident-reporter/incident-reporter-api", "OQSHA-API")</f>
        <v/>
      </c>
      <c r="F866">
        <f>HYPERLINK("http://gitlab.osmosys.co/incident-reporter/incident-reporter-api/-/merge_requests/4232", "feat: add api to fetch statuses of incident management")</f>
        <v/>
      </c>
      <c r="G866" t="inlineStr">
        <is>
          <t>feat/incident-management-statuses-dropdown</t>
        </is>
      </c>
      <c r="H866" t="inlineStr">
        <is>
          <t>sprint-18</t>
        </is>
      </c>
      <c r="I866" t="inlineStr">
        <is>
          <t>closed</t>
        </is>
      </c>
      <c r="J866" t="inlineStr">
        <is>
          <t>657a7df916c93bf5f6c95d5f781647f54090ad94</t>
        </is>
      </c>
      <c r="K866">
        <f>HYPERLINK("http://gitlab.osmosys.co/incident-reporter/incident-reporter-api/-/merge_requests/4232#note_239825", "@pratham.k add migration executed screenshot also rebase this once")</f>
        <v/>
      </c>
      <c r="L866" t="inlineStr">
        <is>
          <t>2025-07-22 11:00:21.084 IST</t>
        </is>
      </c>
      <c r="M866" t="inlineStr">
        <is>
          <t>Lakhan Badure</t>
        </is>
      </c>
      <c r="N866" t="inlineStr">
        <is>
          <t>Yes</t>
        </is>
      </c>
      <c r="O866" t="inlineStr">
        <is>
          <t>No</t>
        </is>
      </c>
      <c r="P866" t="inlineStr"/>
      <c r="Q866" t="inlineStr">
        <is>
          <t>Bad</t>
        </is>
      </c>
    </row>
    <row r="867">
      <c r="A867" t="inlineStr">
        <is>
          <t>pratham.k</t>
        </is>
      </c>
      <c r="B867" t="inlineStr">
        <is>
          <t>Pratham Kancharlawar</t>
        </is>
      </c>
      <c r="C867" t="inlineStr">
        <is>
          <t>pratham.k@osmosys.co</t>
        </is>
      </c>
      <c r="D867" t="inlineStr">
        <is>
          <t>incident-reporter</t>
        </is>
      </c>
      <c r="E867">
        <f>HYPERLINK("http://gitlab.osmosys.co/incident-reporter/incident-reporter-api", "OQSHA-API")</f>
        <v/>
      </c>
      <c r="F867">
        <f>HYPERLINK("http://gitlab.osmosys.co/incident-reporter/incident-reporter-api/-/merge_requests/4232", "feat: add api to fetch statuses of incident management")</f>
        <v/>
      </c>
      <c r="G867" t="inlineStr">
        <is>
          <t>feat/incident-management-statuses-dropdown</t>
        </is>
      </c>
      <c r="H867" t="inlineStr">
        <is>
          <t>sprint-18</t>
        </is>
      </c>
      <c r="I867" t="inlineStr">
        <is>
          <t>closed</t>
        </is>
      </c>
      <c r="J867" t="inlineStr">
        <is>
          <t>70777f626d030f9d3a20804618e2ac72f1a6dcac</t>
        </is>
      </c>
      <c r="K867">
        <f>HYPERLINK("http://gitlab.osmosys.co/incident-reporter/incident-reporter-api/-/merge_requests/4232#note_239840", "You can use enum here like public RecordStatus Status { get; set; } check this and add where ever status used")</f>
        <v/>
      </c>
      <c r="L867" t="inlineStr">
        <is>
          <t>2025-07-22 11:05:54.399 IST</t>
        </is>
      </c>
      <c r="M867" t="inlineStr">
        <is>
          <t>Lakhan Badure</t>
        </is>
      </c>
      <c r="N867" t="inlineStr">
        <is>
          <t>Yes</t>
        </is>
      </c>
      <c r="O867" t="inlineStr">
        <is>
          <t>Yes</t>
        </is>
      </c>
      <c r="P867" t="inlineStr">
        <is>
          <t>Sindhusha</t>
        </is>
      </c>
      <c r="Q867" t="inlineStr">
        <is>
          <t>Neutral</t>
        </is>
      </c>
    </row>
    <row r="868">
      <c r="A868" t="inlineStr">
        <is>
          <t>pratham.k</t>
        </is>
      </c>
      <c r="B868" t="inlineStr">
        <is>
          <t>Pratham Kancharlawar</t>
        </is>
      </c>
      <c r="C868" t="inlineStr">
        <is>
          <t>pratham.k@osmosys.co</t>
        </is>
      </c>
      <c r="D868" t="inlineStr">
        <is>
          <t>incident-reporter</t>
        </is>
      </c>
      <c r="E868">
        <f>HYPERLINK("http://gitlab.osmosys.co/incident-reporter/incident-reporter-api", "OQSHA-API")</f>
        <v/>
      </c>
      <c r="F868">
        <f>HYPERLINK("http://gitlab.osmosys.co/incident-reporter/incident-reporter-api/-/merge_requests/4225", "feat: add api to fetch incident management categories")</f>
        <v/>
      </c>
      <c r="G868" t="inlineStr">
        <is>
          <t>feat/incident-management-categories-dropdown</t>
        </is>
      </c>
      <c r="H868" t="inlineStr">
        <is>
          <t>sprint-18</t>
        </is>
      </c>
      <c r="I868" t="inlineStr">
        <is>
          <t>closed</t>
        </is>
      </c>
      <c r="J868" t="inlineStr"/>
      <c r="K868" t="inlineStr"/>
      <c r="L868" t="inlineStr"/>
      <c r="M868" t="inlineStr"/>
      <c r="N868" t="inlineStr"/>
      <c r="O868" t="inlineStr"/>
      <c r="P868" t="inlineStr"/>
      <c r="Q868" t="inlineStr"/>
    </row>
    <row r="869">
      <c r="A869" t="inlineStr">
        <is>
          <t>pratham.k</t>
        </is>
      </c>
      <c r="B869" t="inlineStr">
        <is>
          <t>Pratham Kancharlawar</t>
        </is>
      </c>
      <c r="C869" t="inlineStr">
        <is>
          <t>pratham.k@osmosys.co</t>
        </is>
      </c>
      <c r="D869" t="inlineStr">
        <is>
          <t>incident-reporter</t>
        </is>
      </c>
      <c r="E869">
        <f>HYPERLINK("http://gitlab.osmosys.co/incident-reporter/incident-reporter-api", "OQSHA-API")</f>
        <v/>
      </c>
      <c r="F869">
        <f>HYPERLINK("http://gitlab.osmosys.co/incident-reporter/incident-reporter-api/-/merge_requests/4217", "fix: correct the records in the export attendance api")</f>
        <v/>
      </c>
      <c r="G869" t="inlineStr">
        <is>
          <t>fix/attendance-export-api</t>
        </is>
      </c>
      <c r="H869" t="inlineStr">
        <is>
          <t>sprint-17</t>
        </is>
      </c>
      <c r="I869" t="inlineStr">
        <is>
          <t>merged</t>
        </is>
      </c>
      <c r="J869" t="inlineStr"/>
      <c r="K869" t="inlineStr"/>
      <c r="L869" t="inlineStr"/>
      <c r="M869" t="inlineStr"/>
      <c r="N869" t="inlineStr"/>
      <c r="O869" t="inlineStr"/>
      <c r="P869" t="inlineStr"/>
      <c r="Q869" t="inlineStr"/>
    </row>
    <row r="870">
      <c r="A870" t="inlineStr">
        <is>
          <t>pratham.k</t>
        </is>
      </c>
      <c r="B870" t="inlineStr">
        <is>
          <t>Pratham Kancharlawar</t>
        </is>
      </c>
      <c r="C870" t="inlineStr">
        <is>
          <t>pratham.k@osmosys.co</t>
        </is>
      </c>
      <c r="D870" t="inlineStr">
        <is>
          <t>incident-reporter</t>
        </is>
      </c>
      <c r="E870">
        <f>HYPERLINK("http://gitlab.osmosys.co/incident-reporter/incident-reporter-api", "OQSHA-API")</f>
        <v/>
      </c>
      <c r="F870">
        <f>HYPERLINK("http://gitlab.osmosys.co/incident-reporter/incident-reporter-api/-/merge_requests/4213", "feat: add get pssr comments api")</f>
        <v/>
      </c>
      <c r="G870" t="inlineStr">
        <is>
          <t>feat/get-pssr-comments</t>
        </is>
      </c>
      <c r="H870" t="inlineStr">
        <is>
          <t>sprint-18</t>
        </is>
      </c>
      <c r="I870" t="inlineStr">
        <is>
          <t>opened</t>
        </is>
      </c>
      <c r="J870" t="inlineStr"/>
      <c r="K870" t="inlineStr"/>
      <c r="L870" t="inlineStr"/>
      <c r="M870" t="inlineStr"/>
      <c r="N870" t="inlineStr"/>
      <c r="O870" t="inlineStr"/>
      <c r="P870" t="inlineStr"/>
      <c r="Q870" t="inlineStr"/>
    </row>
    <row r="871">
      <c r="A871" t="inlineStr">
        <is>
          <t>pratham.k</t>
        </is>
      </c>
      <c r="B871" t="inlineStr">
        <is>
          <t>Pratham Kancharlawar</t>
        </is>
      </c>
      <c r="C871" t="inlineStr">
        <is>
          <t>pratham.k@osmosys.co</t>
        </is>
      </c>
      <c r="D871" t="inlineStr">
        <is>
          <t>incident-reporter</t>
        </is>
      </c>
      <c r="E871">
        <f>HYPERLINK("http://gitlab.osmosys.co/incident-reporter/incident-reporter-api", "OQSHA-API")</f>
        <v/>
      </c>
      <c r="F871">
        <f>HYPERLINK("http://gitlab.osmosys.co/incident-reporter/incident-reporter-api/-/merge_requests/4202", "fix: correct pagination for get all attendance")</f>
        <v/>
      </c>
      <c r="G871" t="inlineStr">
        <is>
          <t>fix/attendance-pagination</t>
        </is>
      </c>
      <c r="H871" t="inlineStr">
        <is>
          <t>sprint-17</t>
        </is>
      </c>
      <c r="I871" t="inlineStr">
        <is>
          <t>merged</t>
        </is>
      </c>
      <c r="J871" t="inlineStr"/>
      <c r="K871" t="inlineStr"/>
      <c r="L871" t="inlineStr"/>
      <c r="M871" t="inlineStr"/>
      <c r="N871" t="inlineStr"/>
      <c r="O871" t="inlineStr"/>
      <c r="P871" t="inlineStr"/>
      <c r="Q871" t="inlineStr"/>
    </row>
    <row r="872">
      <c r="A872" t="inlineStr">
        <is>
          <t>pratham.k</t>
        </is>
      </c>
      <c r="B872" t="inlineStr">
        <is>
          <t>Pratham Kancharlawar</t>
        </is>
      </c>
      <c r="C872" t="inlineStr">
        <is>
          <t>pratham.k@osmosys.co</t>
        </is>
      </c>
      <c r="D872" t="inlineStr">
        <is>
          <t>incident-reporter</t>
        </is>
      </c>
      <c r="E872">
        <f>HYPERLINK("http://gitlab.osmosys.co/incident-reporter/incident-reporter-api", "OQSHA-API")</f>
        <v/>
      </c>
      <c r="F872">
        <f>HYPERLINK("http://gitlab.osmosys.co/incident-reporter/incident-reporter-api/-/merge_requests/4199", "fix: remove unwanted properties from get all assets")</f>
        <v/>
      </c>
      <c r="G872" t="inlineStr">
        <is>
          <t>fix/get-asset-list</t>
        </is>
      </c>
      <c r="H872" t="inlineStr">
        <is>
          <t>sprint-17</t>
        </is>
      </c>
      <c r="I872" t="inlineStr">
        <is>
          <t>merged</t>
        </is>
      </c>
      <c r="J872" t="inlineStr">
        <is>
          <t>ee2012459778bb693edf97e4d0cba6147066fe59</t>
        </is>
      </c>
      <c r="K872">
        <f>HYPERLINK("http://gitlab.osmosys.co/incident-reporter/incident-reporter-api/-/merge_requests/4199#note_245558", "I am seeing many db calls inside for loop, we need to refactor this code. Please do it")</f>
        <v/>
      </c>
      <c r="L872" t="inlineStr">
        <is>
          <t>2025-08-01 16:23:15.873 IST</t>
        </is>
      </c>
      <c r="M872" t="inlineStr">
        <is>
          <t>Kumar Samarjeet</t>
        </is>
      </c>
      <c r="N872" t="inlineStr">
        <is>
          <t>Yes</t>
        </is>
      </c>
      <c r="O872" t="inlineStr">
        <is>
          <t>Yes</t>
        </is>
      </c>
      <c r="P872" t="inlineStr">
        <is>
          <t>Kumar Samarjeet</t>
        </is>
      </c>
      <c r="Q872" t="inlineStr">
        <is>
          <t>Bad</t>
        </is>
      </c>
    </row>
    <row r="873">
      <c r="A873" t="inlineStr">
        <is>
          <t>pratham.k</t>
        </is>
      </c>
      <c r="B873" t="inlineStr">
        <is>
          <t>Pratham Kancharlawar</t>
        </is>
      </c>
      <c r="C873" t="inlineStr">
        <is>
          <t>pratham.k@osmosys.co</t>
        </is>
      </c>
      <c r="D873" t="inlineStr">
        <is>
          <t>incident-reporter</t>
        </is>
      </c>
      <c r="E873">
        <f>HYPERLINK("http://gitlab.osmosys.co/incident-reporter/incident-reporter-api", "OQSHA-API")</f>
        <v/>
      </c>
      <c r="F873">
        <f>HYPERLINK("http://gitlab.osmosys.co/incident-reporter/incident-reporter-api/-/merge_requests/4185", "fix: update task repo to fetch comments in descending order")</f>
        <v/>
      </c>
      <c r="G873" t="inlineStr">
        <is>
          <t>fix/task-comment</t>
        </is>
      </c>
      <c r="H873" t="inlineStr">
        <is>
          <t>sprint-17</t>
        </is>
      </c>
      <c r="I873" t="inlineStr">
        <is>
          <t>merged</t>
        </is>
      </c>
      <c r="J873" t="inlineStr"/>
      <c r="K873" t="inlineStr"/>
      <c r="L873" t="inlineStr"/>
      <c r="M873" t="inlineStr"/>
      <c r="N873" t="inlineStr"/>
      <c r="O873" t="inlineStr"/>
      <c r="P873" t="inlineStr"/>
      <c r="Q873" t="inlineStr"/>
    </row>
    <row r="874">
      <c r="A874" t="inlineStr">
        <is>
          <t>pratham.k</t>
        </is>
      </c>
      <c r="B874" t="inlineStr">
        <is>
          <t>Pratham Kancharlawar</t>
        </is>
      </c>
      <c r="C874" t="inlineStr">
        <is>
          <t>pratham.k@osmosys.co</t>
        </is>
      </c>
      <c r="D874" t="inlineStr">
        <is>
          <t>incident-reporter</t>
        </is>
      </c>
      <c r="E874">
        <f>HYPERLINK("http://gitlab.osmosys.co/incident-reporter/incident-reporter-api", "OQSHA-API")</f>
        <v/>
      </c>
      <c r="F874">
        <f>HYPERLINK("http://gitlab.osmosys.co/incident-reporter/incident-reporter-api/-/merge_requests/4159", "fix: update template body and pass required fields for reminders")</f>
        <v/>
      </c>
      <c r="G874" t="inlineStr">
        <is>
          <t>fix/correct-inspection-template</t>
        </is>
      </c>
      <c r="H874" t="inlineStr">
        <is>
          <t>sprint-17</t>
        </is>
      </c>
      <c r="I874" t="inlineStr">
        <is>
          <t>merged</t>
        </is>
      </c>
      <c r="J874" t="inlineStr"/>
      <c r="K874" t="inlineStr"/>
      <c r="L874" t="inlineStr"/>
      <c r="M874" t="inlineStr"/>
      <c r="N874" t="inlineStr"/>
      <c r="O874" t="inlineStr"/>
      <c r="P874" t="inlineStr"/>
      <c r="Q874" t="inlineStr"/>
    </row>
    <row r="875">
      <c r="A875" t="inlineStr">
        <is>
          <t>pratham.k</t>
        </is>
      </c>
      <c r="B875" t="inlineStr">
        <is>
          <t>Pratham Kancharlawar</t>
        </is>
      </c>
      <c r="C875" t="inlineStr">
        <is>
          <t>pratham.k@osmosys.co</t>
        </is>
      </c>
      <c r="D875" t="inlineStr">
        <is>
          <t>incident-reporter</t>
        </is>
      </c>
      <c r="E875">
        <f>HYPERLINK("http://gitlab.osmosys.co/incident-reporter/incident-reporter-api", "OQSHA-API")</f>
        <v/>
      </c>
      <c r="F875">
        <f>HYPERLINK("http://gitlab.osmosys.co/incident-reporter/incident-reporter-api/-/merge_requests/4132", "fix: add fluent migration to change module number of ptwcompany")</f>
        <v/>
      </c>
      <c r="G875" t="inlineStr">
        <is>
          <t>fix/version-bug</t>
        </is>
      </c>
      <c r="H875" t="inlineStr">
        <is>
          <t>sprint-17</t>
        </is>
      </c>
      <c r="I875" t="inlineStr">
        <is>
          <t>merged</t>
        </is>
      </c>
      <c r="J875" t="inlineStr"/>
      <c r="K875" t="inlineStr"/>
      <c r="L875" t="inlineStr"/>
      <c r="M875" t="inlineStr"/>
      <c r="N875" t="inlineStr"/>
      <c r="O875" t="inlineStr"/>
      <c r="P875" t="inlineStr"/>
      <c r="Q875" t="inlineStr"/>
    </row>
    <row r="876">
      <c r="A876" t="inlineStr">
        <is>
          <t>pratham.k</t>
        </is>
      </c>
      <c r="B876" t="inlineStr">
        <is>
          <t>Pratham Kancharlawar</t>
        </is>
      </c>
      <c r="C876" t="inlineStr">
        <is>
          <t>pratham.k@osmosys.co</t>
        </is>
      </c>
      <c r="D876" t="inlineStr">
        <is>
          <t>incident-reporter</t>
        </is>
      </c>
      <c r="E876">
        <f>HYPERLINK("http://gitlab.osmosys.co/incident-reporter/incident-reporter-api", "OQSHA-API")</f>
        <v/>
      </c>
      <c r="F876">
        <f>HYPERLINK("http://gitlab.osmosys.co/incident-reporter/incident-reporter-api/-/merge_requests/4129", "feat: create task in update Incident api when status is validated")</f>
        <v/>
      </c>
      <c r="G876" t="inlineStr">
        <is>
          <t>feat/automatic-ticket-task-creation</t>
        </is>
      </c>
      <c r="H876" t="inlineStr">
        <is>
          <t>sprint-17</t>
        </is>
      </c>
      <c r="I876" t="inlineStr">
        <is>
          <t>merged</t>
        </is>
      </c>
      <c r="J876" t="inlineStr">
        <is>
          <t>8da3a2b1b17dc642e924badc98ac71d62666b9f6</t>
        </is>
      </c>
      <c r="K876">
        <f>HYPERLINK("http://gitlab.osmosys.co/incident-reporter/incident-reporter-api/-/merge_requests/4129#note_235177", "Need foreign key on this.")</f>
        <v/>
      </c>
      <c r="L876" t="inlineStr">
        <is>
          <t>2025-07-11 14:23:07.126 IST</t>
        </is>
      </c>
      <c r="M876" t="inlineStr">
        <is>
          <t>Sindhusha</t>
        </is>
      </c>
      <c r="N876" t="inlineStr">
        <is>
          <t>Yes</t>
        </is>
      </c>
      <c r="O876" t="inlineStr">
        <is>
          <t>Yes</t>
        </is>
      </c>
      <c r="P876" t="inlineStr">
        <is>
          <t>Sindhusha</t>
        </is>
      </c>
      <c r="Q876" t="inlineStr">
        <is>
          <t>Good</t>
        </is>
      </c>
    </row>
    <row r="877">
      <c r="A877" t="inlineStr">
        <is>
          <t>pratham.k</t>
        </is>
      </c>
      <c r="B877" t="inlineStr">
        <is>
          <t>Pratham Kancharlawar</t>
        </is>
      </c>
      <c r="C877" t="inlineStr">
        <is>
          <t>pratham.k@osmosys.co</t>
        </is>
      </c>
      <c r="D877" t="inlineStr">
        <is>
          <t>incident-reporter</t>
        </is>
      </c>
      <c r="E877">
        <f>HYPERLINK("http://gitlab.osmosys.co/incident-reporter/incident-reporter-api", "OQSHA-API")</f>
        <v/>
      </c>
      <c r="F877">
        <f>HYPERLINK("http://gitlab.osmosys.co/incident-reporter/incident-reporter-api/-/merge_requests/4129", "feat: create task in update Incident api when status is validated")</f>
        <v/>
      </c>
      <c r="G877" t="inlineStr">
        <is>
          <t>feat/automatic-ticket-task-creation</t>
        </is>
      </c>
      <c r="H877" t="inlineStr">
        <is>
          <t>sprint-17</t>
        </is>
      </c>
      <c r="I877" t="inlineStr">
        <is>
          <t>merged</t>
        </is>
      </c>
      <c r="J877" t="inlineStr">
        <is>
          <t>8da3a2b1b17dc642e924badc98ac71d62666b9f6</t>
        </is>
      </c>
      <c r="K877">
        <f>HYPERLINK("http://gitlab.osmosys.co/incident-reporter/incident-reporter-api/-/merge_requests/4129#note_235210", "Added foreign key")</f>
        <v/>
      </c>
      <c r="L877" t="inlineStr">
        <is>
          <t>2025-07-11 14:52:17.886 IST</t>
        </is>
      </c>
      <c r="M877" t="inlineStr">
        <is>
          <t>Pratham Kancharlawar</t>
        </is>
      </c>
      <c r="N877" t="inlineStr">
        <is>
          <t>No</t>
        </is>
      </c>
      <c r="O877" t="inlineStr">
        <is>
          <t>Yes</t>
        </is>
      </c>
      <c r="P877" t="inlineStr">
        <is>
          <t>Sindhusha</t>
        </is>
      </c>
      <c r="Q877" t="inlineStr">
        <is>
          <t>Good</t>
        </is>
      </c>
    </row>
    <row r="878">
      <c r="A878" t="inlineStr">
        <is>
          <t>pratham.k</t>
        </is>
      </c>
      <c r="B878" t="inlineStr">
        <is>
          <t>Pratham Kancharlawar</t>
        </is>
      </c>
      <c r="C878" t="inlineStr">
        <is>
          <t>pratham.k@osmosys.co</t>
        </is>
      </c>
      <c r="D878" t="inlineStr">
        <is>
          <t>incident-reporter</t>
        </is>
      </c>
      <c r="E878">
        <f>HYPERLINK("http://gitlab.osmosys.co/incident-reporter/incident-reporter-api", "OQSHA-API")</f>
        <v/>
      </c>
      <c r="F878">
        <f>HYPERLINK("http://gitlab.osmosys.co/incident-reporter/incident-reporter-api/-/merge_requests/4129", "feat: create task in update Incident api when status is validated")</f>
        <v/>
      </c>
      <c r="G878" t="inlineStr">
        <is>
          <t>feat/automatic-ticket-task-creation</t>
        </is>
      </c>
      <c r="H878" t="inlineStr">
        <is>
          <t>sprint-17</t>
        </is>
      </c>
      <c r="I878" t="inlineStr">
        <is>
          <t>merged</t>
        </is>
      </c>
      <c r="J878" t="inlineStr">
        <is>
          <t>608bd0f6e24827d8214a2c5872fbb564a9681a2b</t>
        </is>
      </c>
      <c r="K878">
        <f>HYPERLINK("http://gitlab.osmosys.co/incident-reporter/incident-reporter-api/-/merge_requests/4129#note_235178", "this is incorrect - check the proper functional call for this in the Create task API.")</f>
        <v/>
      </c>
      <c r="L878" t="inlineStr">
        <is>
          <t>2025-07-11 14:26:15.882 IST</t>
        </is>
      </c>
      <c r="M878" t="inlineStr">
        <is>
          <t>Sindhusha</t>
        </is>
      </c>
      <c r="N878" t="inlineStr">
        <is>
          <t>Yes</t>
        </is>
      </c>
      <c r="O878" t="inlineStr">
        <is>
          <t>Yes</t>
        </is>
      </c>
      <c r="P878" t="inlineStr">
        <is>
          <t>Sindhusha</t>
        </is>
      </c>
      <c r="Q878" t="inlineStr">
        <is>
          <t>Good</t>
        </is>
      </c>
    </row>
    <row r="879">
      <c r="A879" t="inlineStr">
        <is>
          <t>pratham.k</t>
        </is>
      </c>
      <c r="B879" t="inlineStr">
        <is>
          <t>Pratham Kancharlawar</t>
        </is>
      </c>
      <c r="C879" t="inlineStr">
        <is>
          <t>pratham.k@osmosys.co</t>
        </is>
      </c>
      <c r="D879" t="inlineStr">
        <is>
          <t>incident-reporter</t>
        </is>
      </c>
      <c r="E879">
        <f>HYPERLINK("http://gitlab.osmosys.co/incident-reporter/incident-reporter-api", "OQSHA-API")</f>
        <v/>
      </c>
      <c r="F879">
        <f>HYPERLINK("http://gitlab.osmosys.co/incident-reporter/incident-reporter-api/-/merge_requests/4129", "feat: create task in update Incident api when status is validated")</f>
        <v/>
      </c>
      <c r="G879" t="inlineStr">
        <is>
          <t>feat/automatic-ticket-task-creation</t>
        </is>
      </c>
      <c r="H879" t="inlineStr">
        <is>
          <t>sprint-17</t>
        </is>
      </c>
      <c r="I879" t="inlineStr">
        <is>
          <t>merged</t>
        </is>
      </c>
      <c r="J879" t="inlineStr">
        <is>
          <t>608bd0f6e24827d8214a2c5872fbb564a9681a2b</t>
        </is>
      </c>
      <c r="K879">
        <f>HYPERLINK("http://gitlab.osmosys.co/incident-reporter/incident-reporter-api/-/merge_requests/4129#note_235246", "Added the proper functional call, refered the create task")</f>
        <v/>
      </c>
      <c r="L879" t="inlineStr">
        <is>
          <t>2025-07-11 15:26:56.972 IST</t>
        </is>
      </c>
      <c r="M879" t="inlineStr">
        <is>
          <t>Pratham Kancharlawar</t>
        </is>
      </c>
      <c r="N879" t="inlineStr">
        <is>
          <t>No</t>
        </is>
      </c>
      <c r="O879" t="inlineStr">
        <is>
          <t>Yes</t>
        </is>
      </c>
      <c r="P879" t="inlineStr">
        <is>
          <t>Sindhusha</t>
        </is>
      </c>
      <c r="Q879" t="inlineStr">
        <is>
          <t>Good</t>
        </is>
      </c>
    </row>
    <row r="880">
      <c r="A880" t="inlineStr">
        <is>
          <t>pratham.k</t>
        </is>
      </c>
      <c r="B880" t="inlineStr">
        <is>
          <t>Pratham Kancharlawar</t>
        </is>
      </c>
      <c r="C880" t="inlineStr">
        <is>
          <t>pratham.k@osmosys.co</t>
        </is>
      </c>
      <c r="D880" t="inlineStr">
        <is>
          <t>incident-reporter</t>
        </is>
      </c>
      <c r="E880">
        <f>HYPERLINK("http://gitlab.osmosys.co/incident-reporter/incident-reporter-api", "OQSHA-API")</f>
        <v/>
      </c>
      <c r="F880">
        <f>HYPERLINK("http://gitlab.osmosys.co/incident-reporter/incident-reporter-api/-/merge_requests/4129", "feat: create task in update Incident api when status is validated")</f>
        <v/>
      </c>
      <c r="G880" t="inlineStr">
        <is>
          <t>feat/automatic-ticket-task-creation</t>
        </is>
      </c>
      <c r="H880" t="inlineStr">
        <is>
          <t>sprint-17</t>
        </is>
      </c>
      <c r="I880" t="inlineStr">
        <is>
          <t>merged</t>
        </is>
      </c>
      <c r="J880" t="inlineStr">
        <is>
          <t>856627e0bf5445fce2e7761c307bd1ec8f1117a0</t>
        </is>
      </c>
      <c r="K880">
        <f>HYPERLINK("http://gitlab.osmosys.co/incident-reporter/incident-reporter-api/-/merge_requests/4129#note_235203", "We have task categories getting fetched in GET categories by acm module id, check that APIs also if we need to add this column. APIs will be called for KPI in user page; usage maintenance &amp; scheduled maintenance in the assets page.")</f>
        <v/>
      </c>
      <c r="L880" t="inlineStr">
        <is>
          <t>2025-07-11 14:43:25.601 IST</t>
        </is>
      </c>
      <c r="M880" t="inlineStr">
        <is>
          <t>Sindhusha</t>
        </is>
      </c>
      <c r="N880" t="inlineStr">
        <is>
          <t>Yes</t>
        </is>
      </c>
      <c r="O880" t="inlineStr">
        <is>
          <t>Yes</t>
        </is>
      </c>
      <c r="P880" t="inlineStr">
        <is>
          <t>Sindhusha</t>
        </is>
      </c>
      <c r="Q880" t="inlineStr">
        <is>
          <t>Good</t>
        </is>
      </c>
    </row>
    <row r="881">
      <c r="A881" t="inlineStr">
        <is>
          <t>pratham.k</t>
        </is>
      </c>
      <c r="B881" t="inlineStr">
        <is>
          <t>Pratham Kancharlawar</t>
        </is>
      </c>
      <c r="C881" t="inlineStr">
        <is>
          <t>pratham.k@osmosys.co</t>
        </is>
      </c>
      <c r="D881" t="inlineStr">
        <is>
          <t>incident-reporter</t>
        </is>
      </c>
      <c r="E881">
        <f>HYPERLINK("http://gitlab.osmosys.co/incident-reporter/incident-reporter-api", "OQSHA-API")</f>
        <v/>
      </c>
      <c r="F881">
        <f>HYPERLINK("http://gitlab.osmosys.co/incident-reporter/incident-reporter-api/-/merge_requests/4129", "feat: create task in update Incident api when status is validated")</f>
        <v/>
      </c>
      <c r="G881" t="inlineStr">
        <is>
          <t>feat/automatic-ticket-task-creation</t>
        </is>
      </c>
      <c r="H881" t="inlineStr">
        <is>
          <t>sprint-17</t>
        </is>
      </c>
      <c r="I881" t="inlineStr">
        <is>
          <t>merged</t>
        </is>
      </c>
      <c r="J881" t="inlineStr">
        <is>
          <t>856627e0bf5445fce2e7761c307bd1ec8f1117a0</t>
        </is>
      </c>
      <c r="K881">
        <f>HYPERLINK("http://gitlab.osmosys.co/incident-reporter/incident-reporter-api/-/merge_requests/4129#note_235302", "Added the condition in the APIs which you mentioned")</f>
        <v/>
      </c>
      <c r="L881" t="inlineStr">
        <is>
          <t>2025-07-11 16:13:38.811 IST</t>
        </is>
      </c>
      <c r="M881" t="inlineStr">
        <is>
          <t>Pratham Kancharlawar</t>
        </is>
      </c>
      <c r="N881" t="inlineStr">
        <is>
          <t>No</t>
        </is>
      </c>
      <c r="O881" t="inlineStr">
        <is>
          <t>Yes</t>
        </is>
      </c>
      <c r="P881" t="inlineStr">
        <is>
          <t>Sindhusha</t>
        </is>
      </c>
      <c r="Q881" t="inlineStr">
        <is>
          <t>Good</t>
        </is>
      </c>
    </row>
    <row r="882">
      <c r="A882" t="inlineStr">
        <is>
          <t>pratham.k</t>
        </is>
      </c>
      <c r="B882" t="inlineStr">
        <is>
          <t>Pratham Kancharlawar</t>
        </is>
      </c>
      <c r="C882" t="inlineStr">
        <is>
          <t>pratham.k@osmosys.co</t>
        </is>
      </c>
      <c r="D882" t="inlineStr">
        <is>
          <t>incident-reporter</t>
        </is>
      </c>
      <c r="E882">
        <f>HYPERLINK("http://gitlab.osmosys.co/incident-reporter/incident-reporter-api", "OQSHA-API")</f>
        <v/>
      </c>
      <c r="F882">
        <f>HYPERLINK("http://gitlab.osmosys.co/incident-reporter/incident-reporter-api/-/merge_requests/4108", "fix: add versions middleware to apis")</f>
        <v/>
      </c>
      <c r="G882" t="inlineStr">
        <is>
          <t>fix/version-middleware-issue</t>
        </is>
      </c>
      <c r="H882" t="inlineStr">
        <is>
          <t>sprint-17</t>
        </is>
      </c>
      <c r="I882" t="inlineStr">
        <is>
          <t>opened</t>
        </is>
      </c>
      <c r="J882" t="inlineStr"/>
      <c r="K882" t="inlineStr"/>
      <c r="L882" t="inlineStr"/>
      <c r="M882" t="inlineStr"/>
      <c r="N882" t="inlineStr"/>
      <c r="O882" t="inlineStr"/>
      <c r="P882" t="inlineStr"/>
      <c r="Q882" t="inlineStr"/>
    </row>
    <row r="883">
      <c r="A883" t="inlineStr">
        <is>
          <t>pratham.k</t>
        </is>
      </c>
      <c r="B883" t="inlineStr">
        <is>
          <t>Pratham Kancharlawar</t>
        </is>
      </c>
      <c r="C883" t="inlineStr">
        <is>
          <t>pratham.k@osmosys.co</t>
        </is>
      </c>
      <c r="D883" t="inlineStr">
        <is>
          <t>incident-reporter</t>
        </is>
      </c>
      <c r="E883">
        <f>HYPERLINK("http://gitlab.osmosys.co/incident-reporter/incident-reporter-api", "OQSHA-API")</f>
        <v/>
      </c>
      <c r="F883">
        <f>HYPERLINK("http://gitlab.osmosys.co/incident-reporter/incident-reporter-api/-/merge_requests/4096", "feat: update apis to allow multi role and user selection in ptw")</f>
        <v/>
      </c>
      <c r="G883" t="inlineStr">
        <is>
          <t>feat/multirole-user-selection</t>
        </is>
      </c>
      <c r="H883" t="inlineStr">
        <is>
          <t>sprint-17</t>
        </is>
      </c>
      <c r="I883" t="inlineStr">
        <is>
          <t>opened</t>
        </is>
      </c>
      <c r="J883" t="inlineStr"/>
      <c r="K883" t="inlineStr"/>
      <c r="L883" t="inlineStr"/>
      <c r="M883" t="inlineStr"/>
      <c r="N883" t="inlineStr"/>
      <c r="O883" t="inlineStr"/>
      <c r="P883" t="inlineStr"/>
      <c r="Q883" t="inlineStr"/>
    </row>
    <row r="884">
      <c r="A884" t="inlineStr">
        <is>
          <t>pratham.k</t>
        </is>
      </c>
      <c r="B884" t="inlineStr">
        <is>
          <t>Pratham Kancharlawar</t>
        </is>
      </c>
      <c r="C884" t="inlineStr">
        <is>
          <t>pratham.k@osmosys.co</t>
        </is>
      </c>
      <c r="D884" t="inlineStr">
        <is>
          <t>incident-reporter</t>
        </is>
      </c>
      <c r="E884">
        <f>HYPERLINK("http://gitlab.osmosys.co/incident-reporter/incident-reporter-api", "OQSHA-API")</f>
        <v/>
      </c>
      <c r="F884">
        <f>HYPERLINK("http://gitlab.osmosys.co/incident-reporter/incident-reporter-api/-/merge_requests/4074", "feat: convert all export apis to post")</f>
        <v/>
      </c>
      <c r="G884" t="inlineStr">
        <is>
          <t>feat/get-post-export-apis</t>
        </is>
      </c>
      <c r="H884" t="inlineStr">
        <is>
          <t>sprint-17</t>
        </is>
      </c>
      <c r="I884" t="inlineStr">
        <is>
          <t>merged</t>
        </is>
      </c>
      <c r="J884" t="inlineStr">
        <is>
          <t>181646327ce38cd4d22593fa95054b1a83151673</t>
        </is>
      </c>
      <c r="K884">
        <f>HYPERLINK("http://gitlab.osmosys.co/incident-reporter/incident-reporter-api/-/merge_requests/4074#note_233408", "Take the whole variable, not only the location id")</f>
        <v/>
      </c>
      <c r="L884" t="inlineStr">
        <is>
          <t>2025-07-09 11:30:15.079 IST</t>
        </is>
      </c>
      <c r="M884" t="inlineStr">
        <is>
          <t>Kumar Samarjeet</t>
        </is>
      </c>
      <c r="N884" t="inlineStr">
        <is>
          <t>Yes</t>
        </is>
      </c>
      <c r="O884" t="inlineStr">
        <is>
          <t>Yes</t>
        </is>
      </c>
      <c r="P884" t="inlineStr">
        <is>
          <t>Sindhusha</t>
        </is>
      </c>
      <c r="Q884" t="inlineStr">
        <is>
          <t>Good</t>
        </is>
      </c>
    </row>
    <row r="885">
      <c r="A885" t="inlineStr">
        <is>
          <t>pratham.k</t>
        </is>
      </c>
      <c r="B885" t="inlineStr">
        <is>
          <t>Pratham Kancharlawar</t>
        </is>
      </c>
      <c r="C885" t="inlineStr">
        <is>
          <t>pratham.k@osmosys.co</t>
        </is>
      </c>
      <c r="D885" t="inlineStr">
        <is>
          <t>incident-reporter</t>
        </is>
      </c>
      <c r="E885">
        <f>HYPERLINK("http://gitlab.osmosys.co/incident-reporter/incident-reporter-api", "OQSHA-API")</f>
        <v/>
      </c>
      <c r="F885">
        <f>HYPERLINK("http://gitlab.osmosys.co/incident-reporter/incident-reporter-api/-/merge_requests/4074", "feat: convert all export apis to post")</f>
        <v/>
      </c>
      <c r="G885" t="inlineStr">
        <is>
          <t>feat/get-post-export-apis</t>
        </is>
      </c>
      <c r="H885" t="inlineStr">
        <is>
          <t>sprint-17</t>
        </is>
      </c>
      <c r="I885" t="inlineStr">
        <is>
          <t>merged</t>
        </is>
      </c>
      <c r="J885" t="inlineStr">
        <is>
          <t>181646327ce38cd4d22593fa95054b1a83151673</t>
        </is>
      </c>
      <c r="K885">
        <f>HYPERLINK("http://gitlab.osmosys.co/incident-reporter/incident-reporter-api/-/merge_requests/4074#note_233766", "Took the whole object and added change in bll")</f>
        <v/>
      </c>
      <c r="L885" t="inlineStr">
        <is>
          <t>2025-07-09 19:06:59.915 IST</t>
        </is>
      </c>
      <c r="M885" t="inlineStr">
        <is>
          <t>Pratham Kancharlawar</t>
        </is>
      </c>
      <c r="N885" t="inlineStr">
        <is>
          <t>No</t>
        </is>
      </c>
      <c r="O885" t="inlineStr">
        <is>
          <t>Yes</t>
        </is>
      </c>
      <c r="P885" t="inlineStr">
        <is>
          <t>Sindhusha</t>
        </is>
      </c>
      <c r="Q885" t="inlineStr">
        <is>
          <t>Good</t>
        </is>
      </c>
    </row>
    <row r="886">
      <c r="A886" t="inlineStr">
        <is>
          <t>pratham.k</t>
        </is>
      </c>
      <c r="B886" t="inlineStr">
        <is>
          <t>Pratham Kancharlawar</t>
        </is>
      </c>
      <c r="C886" t="inlineStr">
        <is>
          <t>pratham.k@osmosys.co</t>
        </is>
      </c>
      <c r="D886" t="inlineStr">
        <is>
          <t>incident-reporter</t>
        </is>
      </c>
      <c r="E886">
        <f>HYPERLINK("http://gitlab.osmosys.co/incident-reporter/incident-reporter-api", "OQSHA-API")</f>
        <v/>
      </c>
      <c r="F886">
        <f>HYPERLINK("http://gitlab.osmosys.co/incident-reporter/incident-reporter-api/-/merge_requests/4074", "feat: convert all export apis to post")</f>
        <v/>
      </c>
      <c r="G886" t="inlineStr">
        <is>
          <t>feat/get-post-export-apis</t>
        </is>
      </c>
      <c r="H886" t="inlineStr">
        <is>
          <t>sprint-17</t>
        </is>
      </c>
      <c r="I886" t="inlineStr">
        <is>
          <t>merged</t>
        </is>
      </c>
      <c r="J886" t="inlineStr">
        <is>
          <t>609bb98f3485c0f9a6334114b42ec0cb2dfa6604</t>
        </is>
      </c>
      <c r="K886">
        <f>HYPERLINK("http://gitlab.osmosys.co/incident-reporter/incident-reporter-api/-/merge_requests/4074#note_233409", "Don't change this route, It is used in App, so for old app it will break, Check With UI once then update")</f>
        <v/>
      </c>
      <c r="L886" t="inlineStr">
        <is>
          <t>2025-07-09 11:30:15.175 IST</t>
        </is>
      </c>
      <c r="M886" t="inlineStr">
        <is>
          <t>Kumar Samarjeet</t>
        </is>
      </c>
      <c r="N886" t="inlineStr">
        <is>
          <t>Yes</t>
        </is>
      </c>
      <c r="O886" t="inlineStr">
        <is>
          <t>Yes</t>
        </is>
      </c>
      <c r="P886" t="inlineStr">
        <is>
          <t>Sindhusha</t>
        </is>
      </c>
      <c r="Q886" t="inlineStr">
        <is>
          <t>Neutral</t>
        </is>
      </c>
    </row>
    <row r="887">
      <c r="A887" t="inlineStr">
        <is>
          <t>pratham.k</t>
        </is>
      </c>
      <c r="B887" t="inlineStr">
        <is>
          <t>Pratham Kancharlawar</t>
        </is>
      </c>
      <c r="C887" t="inlineStr">
        <is>
          <t>pratham.k@osmosys.co</t>
        </is>
      </c>
      <c r="D887" t="inlineStr">
        <is>
          <t>incident-reporter</t>
        </is>
      </c>
      <c r="E887">
        <f>HYPERLINK("http://gitlab.osmosys.co/incident-reporter/incident-reporter-api", "OQSHA-API")</f>
        <v/>
      </c>
      <c r="F887">
        <f>HYPERLINK("http://gitlab.osmosys.co/incident-reporter/incident-reporter-api/-/merge_requests/4074", "feat: convert all export apis to post")</f>
        <v/>
      </c>
      <c r="G887" t="inlineStr">
        <is>
          <t>feat/get-post-export-apis</t>
        </is>
      </c>
      <c r="H887" t="inlineStr">
        <is>
          <t>sprint-17</t>
        </is>
      </c>
      <c r="I887" t="inlineStr">
        <is>
          <t>merged</t>
        </is>
      </c>
      <c r="J887" t="inlineStr">
        <is>
          <t>609bb98f3485c0f9a6334114b42ec0cb2dfa6604</t>
        </is>
      </c>
      <c r="K887">
        <f>HYPERLINK("http://gitlab.osmosys.co/incident-reporter/incident-reporter-api/-/merge_requests/4074#note_233734", "Told UI developer about this change, we can continue with this changed route")</f>
        <v/>
      </c>
      <c r="L887" t="inlineStr">
        <is>
          <t>2025-07-09 18:44:37.701 IST</t>
        </is>
      </c>
      <c r="M887" t="inlineStr">
        <is>
          <t>Pratham Kancharlawar</t>
        </is>
      </c>
      <c r="N887" t="inlineStr">
        <is>
          <t>No</t>
        </is>
      </c>
      <c r="O887" t="inlineStr">
        <is>
          <t>Yes</t>
        </is>
      </c>
      <c r="P887" t="inlineStr">
        <is>
          <t>Sindhusha</t>
        </is>
      </c>
      <c r="Q887" t="inlineStr">
        <is>
          <t>Neutral</t>
        </is>
      </c>
    </row>
    <row r="888">
      <c r="A888" t="inlineStr">
        <is>
          <t>pratham.k</t>
        </is>
      </c>
      <c r="B888" t="inlineStr">
        <is>
          <t>Pratham Kancharlawar</t>
        </is>
      </c>
      <c r="C888" t="inlineStr">
        <is>
          <t>pratham.k@osmosys.co</t>
        </is>
      </c>
      <c r="D888" t="inlineStr">
        <is>
          <t>incident-reporter</t>
        </is>
      </c>
      <c r="E888">
        <f>HYPERLINK("http://gitlab.osmosys.co/incident-reporter/incident-reporter-api", "OQSHA-API")</f>
        <v/>
      </c>
      <c r="F888">
        <f>HYPERLINK("http://gitlab.osmosys.co/incident-reporter/incident-reporter-api/-/merge_requests/4074", "feat: convert all export apis to post")</f>
        <v/>
      </c>
      <c r="G888" t="inlineStr">
        <is>
          <t>feat/get-post-export-apis</t>
        </is>
      </c>
      <c r="H888" t="inlineStr">
        <is>
          <t>sprint-17</t>
        </is>
      </c>
      <c r="I888" t="inlineStr">
        <is>
          <t>merged</t>
        </is>
      </c>
      <c r="J888" t="inlineStr">
        <is>
          <t>985c4c4e18d8020f50a8d1734e84a77497c2fb78</t>
        </is>
      </c>
      <c r="K888">
        <f>HYPERLINK("http://gitlab.osmosys.co/incident-reporter/incident-reporter-api/-/merge_requests/4074#note_233410", "Why the LocationId is in List&lt;int?&gt;? Make this List&lt;int&gt;")</f>
        <v/>
      </c>
      <c r="L888" t="inlineStr">
        <is>
          <t>2025-07-09 11:30:15.266 IST</t>
        </is>
      </c>
      <c r="M888" t="inlineStr">
        <is>
          <t>Kumar Samarjeet</t>
        </is>
      </c>
      <c r="N888" t="inlineStr">
        <is>
          <t>Yes</t>
        </is>
      </c>
      <c r="O888" t="inlineStr">
        <is>
          <t>Yes</t>
        </is>
      </c>
      <c r="P888" t="inlineStr">
        <is>
          <t>Sindhusha</t>
        </is>
      </c>
      <c r="Q888" t="inlineStr">
        <is>
          <t>Neutral</t>
        </is>
      </c>
    </row>
    <row r="889">
      <c r="A889" t="inlineStr">
        <is>
          <t>pratham.k</t>
        </is>
      </c>
      <c r="B889" t="inlineStr">
        <is>
          <t>Pratham Kancharlawar</t>
        </is>
      </c>
      <c r="C889" t="inlineStr">
        <is>
          <t>pratham.k@osmosys.co</t>
        </is>
      </c>
      <c r="D889" t="inlineStr">
        <is>
          <t>incident-reporter</t>
        </is>
      </c>
      <c r="E889">
        <f>HYPERLINK("http://gitlab.osmosys.co/incident-reporter/incident-reporter-api", "OQSHA-API")</f>
        <v/>
      </c>
      <c r="F889">
        <f>HYPERLINK("http://gitlab.osmosys.co/incident-reporter/incident-reporter-api/-/merge_requests/4074", "feat: convert all export apis to post")</f>
        <v/>
      </c>
      <c r="G889" t="inlineStr">
        <is>
          <t>feat/get-post-export-apis</t>
        </is>
      </c>
      <c r="H889" t="inlineStr">
        <is>
          <t>sprint-17</t>
        </is>
      </c>
      <c r="I889" t="inlineStr">
        <is>
          <t>merged</t>
        </is>
      </c>
      <c r="J889" t="inlineStr">
        <is>
          <t>985c4c4e18d8020f50a8d1734e84a77497c2fb78</t>
        </is>
      </c>
      <c r="K889">
        <f>HYPERLINK("http://gitlab.osmosys.co/incident-reporter/incident-reporter-api/-/merge_requests/4074#note_233765", "It was already nullable, if we changed that we need to make the complete new repo")</f>
        <v/>
      </c>
      <c r="L889" t="inlineStr">
        <is>
          <t>2025-07-09 19:06:41.386 IST</t>
        </is>
      </c>
      <c r="M889" t="inlineStr">
        <is>
          <t>Pratham Kancharlawar</t>
        </is>
      </c>
      <c r="N889" t="inlineStr">
        <is>
          <t>No</t>
        </is>
      </c>
      <c r="O889" t="inlineStr">
        <is>
          <t>Yes</t>
        </is>
      </c>
      <c r="P889" t="inlineStr">
        <is>
          <t>Sindhusha</t>
        </is>
      </c>
      <c r="Q889" t="inlineStr">
        <is>
          <t>Neutral</t>
        </is>
      </c>
    </row>
    <row r="890">
      <c r="A890" t="inlineStr">
        <is>
          <t>pratham.k</t>
        </is>
      </c>
      <c r="B890" t="inlineStr">
        <is>
          <t>Pratham Kancharlawar</t>
        </is>
      </c>
      <c r="C890" t="inlineStr">
        <is>
          <t>pratham.k@osmosys.co</t>
        </is>
      </c>
      <c r="D890" t="inlineStr">
        <is>
          <t>incident-reporter</t>
        </is>
      </c>
      <c r="E890">
        <f>HYPERLINK("http://gitlab.osmosys.co/incident-reporter/incident-reporter-api", "OQSHA-API")</f>
        <v/>
      </c>
      <c r="F890">
        <f>HYPERLINK("http://gitlab.osmosys.co/incident-reporter/incident-reporter-api/-/merge_requests/4055", "feat: add api to fetch medical associated tasks")</f>
        <v/>
      </c>
      <c r="G890" t="inlineStr">
        <is>
          <t>feat/medical-associated-tasks</t>
        </is>
      </c>
      <c r="H890" t="inlineStr">
        <is>
          <t>sprint-17</t>
        </is>
      </c>
      <c r="I890" t="inlineStr">
        <is>
          <t>opened</t>
        </is>
      </c>
      <c r="J890" t="inlineStr"/>
      <c r="K890" t="inlineStr"/>
      <c r="L890" t="inlineStr"/>
      <c r="M890" t="inlineStr"/>
      <c r="N890" t="inlineStr"/>
      <c r="O890" t="inlineStr"/>
      <c r="P890" t="inlineStr"/>
      <c r="Q890" t="inlineStr"/>
    </row>
    <row r="891">
      <c r="A891" t="inlineStr">
        <is>
          <t>pratham.k</t>
        </is>
      </c>
      <c r="B891" t="inlineStr">
        <is>
          <t>Pratham Kancharlawar</t>
        </is>
      </c>
      <c r="C891" t="inlineStr">
        <is>
          <t>pratham.k@osmosys.co</t>
        </is>
      </c>
      <c r="D891" t="inlineStr">
        <is>
          <t>incident-reporter</t>
        </is>
      </c>
      <c r="E891">
        <f>HYPERLINK("http://gitlab.osmosys.co/incident-reporter/incident-reporter-api", "OQSHA-API")</f>
        <v/>
      </c>
      <c r="F891">
        <f>HYPERLINK("http://gitlab.osmosys.co/incident-reporter/incident-reporter-api/-/merge_requests/4043", "feat: create task in update Incident api when status is validated")</f>
        <v/>
      </c>
      <c r="G891" t="inlineStr">
        <is>
          <t>feat/ticket-task-creation</t>
        </is>
      </c>
      <c r="H891" t="inlineStr">
        <is>
          <t>sprint-17</t>
        </is>
      </c>
      <c r="I891" t="inlineStr">
        <is>
          <t>closed</t>
        </is>
      </c>
      <c r="J891" t="inlineStr">
        <is>
          <t>d0b814e182eaef5d8438900ef8b7a68f11e5fd63</t>
        </is>
      </c>
      <c r="K891">
        <f>HYPERLINK("http://gitlab.osmosys.co/incident-reporter/incident-reporter-api/-/merge_requests/4043#note_232692", "Go with the format of variable that is declared already within the constructor")</f>
        <v/>
      </c>
      <c r="L891" t="inlineStr">
        <is>
          <t>2025-07-07 17:24:29.687 IST</t>
        </is>
      </c>
      <c r="M891" t="inlineStr">
        <is>
          <t>Kumar Samarjeet</t>
        </is>
      </c>
      <c r="N891" t="inlineStr">
        <is>
          <t>Yes</t>
        </is>
      </c>
      <c r="O891" t="inlineStr">
        <is>
          <t>No</t>
        </is>
      </c>
      <c r="P891" t="inlineStr"/>
      <c r="Q891" t="inlineStr">
        <is>
          <t>Good</t>
        </is>
      </c>
    </row>
    <row r="892">
      <c r="A892" t="inlineStr">
        <is>
          <t>pratham.k</t>
        </is>
      </c>
      <c r="B892" t="inlineStr">
        <is>
          <t>Pratham Kancharlawar</t>
        </is>
      </c>
      <c r="C892" t="inlineStr">
        <is>
          <t>pratham.k@osmosys.co</t>
        </is>
      </c>
      <c r="D892" t="inlineStr">
        <is>
          <t>incident-reporter</t>
        </is>
      </c>
      <c r="E892">
        <f>HYPERLINK("http://gitlab.osmosys.co/incident-reporter/incident-reporter-api", "OQSHA-API")</f>
        <v/>
      </c>
      <c r="F892">
        <f>HYPERLINK("http://gitlab.osmosys.co/incident-reporter/incident-reporter-api/-/merge_requests/4043", "feat: create task in update Incident api when status is validated")</f>
        <v/>
      </c>
      <c r="G892" t="inlineStr">
        <is>
          <t>feat/ticket-task-creation</t>
        </is>
      </c>
      <c r="H892" t="inlineStr">
        <is>
          <t>sprint-17</t>
        </is>
      </c>
      <c r="I892" t="inlineStr">
        <is>
          <t>closed</t>
        </is>
      </c>
      <c r="J892" t="inlineStr">
        <is>
          <t>d0b814e182eaef5d8438900ef8b7a68f11e5fd63</t>
        </is>
      </c>
      <c r="K892">
        <f>HYPERLINK("http://gitlab.osmosys.co/incident-reporter/incident-reporter-api/-/merge_requests/4043#note_233077", "Changed the format")</f>
        <v/>
      </c>
      <c r="L892" t="inlineStr">
        <is>
          <t>2025-07-08 14:30:17.818 IST</t>
        </is>
      </c>
      <c r="M892" t="inlineStr">
        <is>
          <t>Pratham Kancharlawar</t>
        </is>
      </c>
      <c r="N892" t="inlineStr">
        <is>
          <t>No</t>
        </is>
      </c>
      <c r="O892" t="inlineStr">
        <is>
          <t>No</t>
        </is>
      </c>
      <c r="P892" t="inlineStr"/>
      <c r="Q892" t="inlineStr">
        <is>
          <t>Good</t>
        </is>
      </c>
    </row>
    <row r="893">
      <c r="A893" t="inlineStr">
        <is>
          <t>pratham.k</t>
        </is>
      </c>
      <c r="B893" t="inlineStr">
        <is>
          <t>Pratham Kancharlawar</t>
        </is>
      </c>
      <c r="C893" t="inlineStr">
        <is>
          <t>pratham.k@osmosys.co</t>
        </is>
      </c>
      <c r="D893" t="inlineStr">
        <is>
          <t>incident-reporter</t>
        </is>
      </c>
      <c r="E893">
        <f>HYPERLINK("http://gitlab.osmosys.co/incident-reporter/incident-reporter-api", "OQSHA-API")</f>
        <v/>
      </c>
      <c r="F893">
        <f>HYPERLINK("http://gitlab.osmosys.co/incident-reporter/incident-reporter-api/-/merge_requests/4043", "feat: create task in update Incident api when status is validated")</f>
        <v/>
      </c>
      <c r="G893" t="inlineStr">
        <is>
          <t>feat/ticket-task-creation</t>
        </is>
      </c>
      <c r="H893" t="inlineStr">
        <is>
          <t>sprint-17</t>
        </is>
      </c>
      <c r="I893" t="inlineStr">
        <is>
          <t>closed</t>
        </is>
      </c>
      <c r="J893" t="inlineStr">
        <is>
          <t>0970f5bb43ea6eb12c27006cb02221c9c6cdec3d</t>
        </is>
      </c>
      <c r="K893">
        <f>HYPERLINK("http://gitlab.osmosys.co/incident-reporter/incident-reporter-api/-/merge_requests/4043#note_232693", "Make it a bulk insert query, Don't use DB calls inside loop")</f>
        <v/>
      </c>
      <c r="L893" t="inlineStr">
        <is>
          <t>2025-07-07 17:24:29.764 IST</t>
        </is>
      </c>
      <c r="M893" t="inlineStr">
        <is>
          <t>Kumar Samarjeet</t>
        </is>
      </c>
      <c r="N893" t="inlineStr">
        <is>
          <t>Yes</t>
        </is>
      </c>
      <c r="O893" t="inlineStr">
        <is>
          <t>Yes</t>
        </is>
      </c>
      <c r="P893" t="inlineStr">
        <is>
          <t>Sindhusha</t>
        </is>
      </c>
      <c r="Q893" t="inlineStr">
        <is>
          <t>Bad</t>
        </is>
      </c>
    </row>
    <row r="894">
      <c r="A894" t="inlineStr">
        <is>
          <t>pratham.k</t>
        </is>
      </c>
      <c r="B894" t="inlineStr">
        <is>
          <t>Pratham Kancharlawar</t>
        </is>
      </c>
      <c r="C894" t="inlineStr">
        <is>
          <t>pratham.k@osmosys.co</t>
        </is>
      </c>
      <c r="D894" t="inlineStr">
        <is>
          <t>incident-reporter</t>
        </is>
      </c>
      <c r="E894">
        <f>HYPERLINK("http://gitlab.osmosys.co/incident-reporter/incident-reporter-api", "OQSHA-API")</f>
        <v/>
      </c>
      <c r="F894">
        <f>HYPERLINK("http://gitlab.osmosys.co/incident-reporter/incident-reporter-api/-/merge_requests/4043", "feat: create task in update Incident api when status is validated")</f>
        <v/>
      </c>
      <c r="G894" t="inlineStr">
        <is>
          <t>feat/ticket-task-creation</t>
        </is>
      </c>
      <c r="H894" t="inlineStr">
        <is>
          <t>sprint-17</t>
        </is>
      </c>
      <c r="I894" t="inlineStr">
        <is>
          <t>closed</t>
        </is>
      </c>
      <c r="J894" t="inlineStr">
        <is>
          <t>0970f5bb43ea6eb12c27006cb02221c9c6cdec3d</t>
        </is>
      </c>
      <c r="K894">
        <f>HYPERLINK("http://gitlab.osmosys.co/incident-reporter/incident-reporter-api/-/merge_requests/4043#note_233076", "@samarjeet.k This code is taken from the task module, and there also we are using same approach, if we needed changes then I have to make the new repo, do you want me to do that?")</f>
        <v/>
      </c>
      <c r="L894" t="inlineStr">
        <is>
          <t>2025-07-08 14:30:00.654 IST</t>
        </is>
      </c>
      <c r="M894" t="inlineStr">
        <is>
          <t>Pratham Kancharlawar</t>
        </is>
      </c>
      <c r="N894" t="inlineStr">
        <is>
          <t>No</t>
        </is>
      </c>
      <c r="O894" t="inlineStr">
        <is>
          <t>Yes</t>
        </is>
      </c>
      <c r="P894" t="inlineStr">
        <is>
          <t>Sindhusha</t>
        </is>
      </c>
      <c r="Q894" t="inlineStr">
        <is>
          <t>Bad</t>
        </is>
      </c>
    </row>
    <row r="895">
      <c r="A895" t="inlineStr">
        <is>
          <t>pratham.k</t>
        </is>
      </c>
      <c r="B895" t="inlineStr">
        <is>
          <t>Pratham Kancharlawar</t>
        </is>
      </c>
      <c r="C895" t="inlineStr">
        <is>
          <t>pratham.k@osmosys.co</t>
        </is>
      </c>
      <c r="D895" t="inlineStr">
        <is>
          <t>incident-reporter</t>
        </is>
      </c>
      <c r="E895">
        <f>HYPERLINK("http://gitlab.osmosys.co/incident-reporter/incident-reporter-api", "OQSHA-API")</f>
        <v/>
      </c>
      <c r="F895">
        <f>HYPERLINK("http://gitlab.osmosys.co/incident-reporter/incident-reporter-api/-/merge_requests/4043", "feat: create task in update Incident api when status is validated")</f>
        <v/>
      </c>
      <c r="G895" t="inlineStr">
        <is>
          <t>feat/ticket-task-creation</t>
        </is>
      </c>
      <c r="H895" t="inlineStr">
        <is>
          <t>sprint-17</t>
        </is>
      </c>
      <c r="I895" t="inlineStr">
        <is>
          <t>closed</t>
        </is>
      </c>
      <c r="J895" t="inlineStr">
        <is>
          <t>32583dfd40449d03b1fa3ca9b15ac03f460a8b48</t>
        </is>
      </c>
      <c r="K895">
        <f>HYPERLINK("http://gitlab.osmosys.co/incident-reporter/incident-reporter-api/-/merge_requests/4043#note_234301", "@pratham.k  - closing this PR, create new PR from sprint-17 &amp; copy respective changes.")</f>
        <v/>
      </c>
      <c r="L895" t="inlineStr">
        <is>
          <t>2025-07-10 18:14:19.699 IST</t>
        </is>
      </c>
      <c r="M895" t="inlineStr">
        <is>
          <t>Sindhusha</t>
        </is>
      </c>
      <c r="N895" t="inlineStr">
        <is>
          <t>Yes</t>
        </is>
      </c>
      <c r="O895" t="inlineStr">
        <is>
          <t>No</t>
        </is>
      </c>
      <c r="P895" t="inlineStr"/>
      <c r="Q895" t="inlineStr">
        <is>
          <t>Bad</t>
        </is>
      </c>
    </row>
    <row r="896">
      <c r="A896" t="inlineStr">
        <is>
          <t>pratham.k</t>
        </is>
      </c>
      <c r="B896" t="inlineStr">
        <is>
          <t>Pratham Kancharlawar</t>
        </is>
      </c>
      <c r="C896" t="inlineStr">
        <is>
          <t>pratham.k@osmosys.co</t>
        </is>
      </c>
      <c r="D896" t="inlineStr">
        <is>
          <t>incident-reporter</t>
        </is>
      </c>
      <c r="E896">
        <f>HYPERLINK("http://gitlab.osmosys.co/incident-reporter/incident-reporter-api", "OQSHA-API")</f>
        <v/>
      </c>
      <c r="F896">
        <f>HYPERLINK("http://gitlab.osmosys.co/incident-reporter/incident-reporter-api/-/merge_requests/4030", "fix: correct moc comment api")</f>
        <v/>
      </c>
      <c r="G896" t="inlineStr">
        <is>
          <t>fix/moc-comment</t>
        </is>
      </c>
      <c r="H896" t="inlineStr">
        <is>
          <t>sprint-16_v2</t>
        </is>
      </c>
      <c r="I896" t="inlineStr">
        <is>
          <t>merged</t>
        </is>
      </c>
      <c r="J896" t="inlineStr"/>
      <c r="K896" t="inlineStr"/>
      <c r="L896" t="inlineStr"/>
      <c r="M896" t="inlineStr"/>
      <c r="N896" t="inlineStr"/>
      <c r="O896" t="inlineStr"/>
      <c r="P896" t="inlineStr"/>
      <c r="Q896" t="inlineStr"/>
    </row>
    <row r="897">
      <c r="A897" t="inlineStr">
        <is>
          <t>kulsrestha.j</t>
        </is>
      </c>
      <c r="B897" t="inlineStr">
        <is>
          <t>Kulsrestha Joshi</t>
        </is>
      </c>
      <c r="C897" t="inlineStr">
        <is>
          <t>kulsrestha.j@osmosys.co</t>
        </is>
      </c>
      <c r="D897" t="inlineStr">
        <is>
          <t>incident-reporter</t>
        </is>
      </c>
      <c r="E897">
        <f>HYPERLINK("http://gitlab.osmosys.co/incident-reporter/incident-reporter-angular-portal", "OQSHA Portal")</f>
        <v/>
      </c>
      <c r="F897">
        <f>HYPERLINK("http://gitlab.osmosys.co/incident-reporter/incident-reporter-angular-portal/-/merge_requests/3699", "feat: add kpi add-edit page")</f>
        <v/>
      </c>
      <c r="G897" t="inlineStr">
        <is>
          <t>feat/add-edit-employee-kpi</t>
        </is>
      </c>
      <c r="H897" t="inlineStr">
        <is>
          <t>sprint-19</t>
        </is>
      </c>
      <c r="I897" t="inlineStr">
        <is>
          <t>opened</t>
        </is>
      </c>
      <c r="J897" t="inlineStr"/>
      <c r="K897" t="inlineStr"/>
      <c r="L897" t="inlineStr"/>
      <c r="M897" t="inlineStr"/>
      <c r="N897" t="inlineStr"/>
      <c r="O897" t="inlineStr"/>
      <c r="P897" t="inlineStr"/>
      <c r="Q897" t="inlineStr"/>
    </row>
    <row r="898">
      <c r="A898" t="inlineStr">
        <is>
          <t>kulsrestha.j</t>
        </is>
      </c>
      <c r="B898" t="inlineStr">
        <is>
          <t>Kulsrestha Joshi</t>
        </is>
      </c>
      <c r="C898" t="inlineStr">
        <is>
          <t>kulsrestha.j@osmosys.co</t>
        </is>
      </c>
      <c r="D898" t="inlineStr">
        <is>
          <t>incident-reporter</t>
        </is>
      </c>
      <c r="E898">
        <f>HYPERLINK("http://gitlab.osmosys.co/incident-reporter/incident-reporter-angular-portal", "OQSHA Portal")</f>
        <v/>
      </c>
      <c r="F898">
        <f>HYPERLINK("http://gitlab.osmosys.co/incident-reporter/incident-reporter-angular-portal/-/merge_requests/3694", "feat: add employee kpi list page")</f>
        <v/>
      </c>
      <c r="G898" t="inlineStr">
        <is>
          <t>feat/employee-kpi-list</t>
        </is>
      </c>
      <c r="H898" t="inlineStr">
        <is>
          <t>sprint-19</t>
        </is>
      </c>
      <c r="I898" t="inlineStr">
        <is>
          <t>merged</t>
        </is>
      </c>
      <c r="J898" t="inlineStr">
        <is>
          <t>a4f2dc7928baf48299849df38a82c4bbfc9414db</t>
        </is>
      </c>
      <c r="K898">
        <f>HYPERLINK("http://gitlab.osmosys.co/incident-reporter/incident-reporter-angular-portal/-/merge_requests/3694#note_246554", "Please create a new section in languages file and dedicate it to this new module.
Don't use labels of another module here.")</f>
        <v/>
      </c>
      <c r="L898" t="inlineStr">
        <is>
          <t>2025-08-02 20:46:25.218 IST</t>
        </is>
      </c>
      <c r="M898" t="inlineStr">
        <is>
          <t>Sameer Shaik</t>
        </is>
      </c>
      <c r="N898" t="inlineStr">
        <is>
          <t>Yes</t>
        </is>
      </c>
      <c r="O898" t="inlineStr">
        <is>
          <t>Yes</t>
        </is>
      </c>
      <c r="P898" t="inlineStr">
        <is>
          <t>Soundariya B</t>
        </is>
      </c>
      <c r="Q898" t="inlineStr">
        <is>
          <t>Bad</t>
        </is>
      </c>
    </row>
    <row r="899">
      <c r="A899" t="inlineStr">
        <is>
          <t>kulsrestha.j</t>
        </is>
      </c>
      <c r="B899" t="inlineStr">
        <is>
          <t>Kulsrestha Joshi</t>
        </is>
      </c>
      <c r="C899" t="inlineStr">
        <is>
          <t>kulsrestha.j@osmosys.co</t>
        </is>
      </c>
      <c r="D899" t="inlineStr">
        <is>
          <t>incident-reporter</t>
        </is>
      </c>
      <c r="E899">
        <f>HYPERLINK("http://gitlab.osmosys.co/incident-reporter/incident-reporter-angular-portal", "OQSHA Portal")</f>
        <v/>
      </c>
      <c r="F899">
        <f>HYPERLINK("http://gitlab.osmosys.co/incident-reporter/incident-reporter-angular-portal/-/merge_requests/3694", "feat: add employee kpi list page")</f>
        <v/>
      </c>
      <c r="G899" t="inlineStr">
        <is>
          <t>feat/employee-kpi-list</t>
        </is>
      </c>
      <c r="H899" t="inlineStr">
        <is>
          <t>sprint-19</t>
        </is>
      </c>
      <c r="I899" t="inlineStr">
        <is>
          <t>merged</t>
        </is>
      </c>
      <c r="J899" t="inlineStr">
        <is>
          <t>a4f2dc7928baf48299849df38a82c4bbfc9414db</t>
        </is>
      </c>
      <c r="K899">
        <f>HYPERLINK("http://gitlab.osmosys.co/incident-reporter/incident-reporter-angular-portal/-/merge_requests/3694#note_246618", "Created and taken from there")</f>
        <v/>
      </c>
      <c r="L899" t="inlineStr">
        <is>
          <t>2025-08-02 23:37:20.097 IST</t>
        </is>
      </c>
      <c r="M899" t="inlineStr">
        <is>
          <t>Kulsrestha Joshi</t>
        </is>
      </c>
      <c r="N899" t="inlineStr">
        <is>
          <t>No</t>
        </is>
      </c>
      <c r="O899" t="inlineStr">
        <is>
          <t>Yes</t>
        </is>
      </c>
      <c r="P899" t="inlineStr">
        <is>
          <t>Soundariya B</t>
        </is>
      </c>
      <c r="Q899" t="inlineStr">
        <is>
          <t>Bad</t>
        </is>
      </c>
    </row>
    <row r="900">
      <c r="A900" t="inlineStr">
        <is>
          <t>kulsrestha.j</t>
        </is>
      </c>
      <c r="B900" t="inlineStr">
        <is>
          <t>Kulsrestha Joshi</t>
        </is>
      </c>
      <c r="C900" t="inlineStr">
        <is>
          <t>kulsrestha.j@osmosys.co</t>
        </is>
      </c>
      <c r="D900" t="inlineStr">
        <is>
          <t>incident-reporter</t>
        </is>
      </c>
      <c r="E900">
        <f>HYPERLINK("http://gitlab.osmosys.co/incident-reporter/incident-reporter-angular-portal", "OQSHA Portal")</f>
        <v/>
      </c>
      <c r="F900">
        <f>HYPERLINK("http://gitlab.osmosys.co/incident-reporter/incident-reporter-angular-portal/-/merge_requests/3694", "feat: add employee kpi list page")</f>
        <v/>
      </c>
      <c r="G900" t="inlineStr">
        <is>
          <t>feat/employee-kpi-list</t>
        </is>
      </c>
      <c r="H900" t="inlineStr">
        <is>
          <t>sprint-19</t>
        </is>
      </c>
      <c r="I900" t="inlineStr">
        <is>
          <t>merged</t>
        </is>
      </c>
      <c r="J900" t="inlineStr">
        <is>
          <t>deb9acaa431b2645442c95c67e1a0bfe8edc44ec</t>
        </is>
      </c>
      <c r="K900">
        <f>HYPERLINK("http://gitlab.osmosys.co/incident-reporter/incident-reporter-angular-portal/-/merge_requests/3694#note_246565", "![image](/uploads/01d46f29cece6ccb1fdeca09c1e1ba04/image.png)")</f>
        <v/>
      </c>
      <c r="L900" t="inlineStr">
        <is>
          <t>2025-08-02 20:57:43.720 IST</t>
        </is>
      </c>
      <c r="M900" t="inlineStr">
        <is>
          <t>Soundariya B</t>
        </is>
      </c>
      <c r="N900" t="inlineStr">
        <is>
          <t>Yes</t>
        </is>
      </c>
      <c r="O900" t="inlineStr">
        <is>
          <t>Yes</t>
        </is>
      </c>
      <c r="P900" t="inlineStr">
        <is>
          <t>Soundariya B</t>
        </is>
      </c>
      <c r="Q900" t="inlineStr">
        <is>
          <t>Bad</t>
        </is>
      </c>
    </row>
    <row r="901">
      <c r="A901" t="inlineStr">
        <is>
          <t>kulsrestha.j</t>
        </is>
      </c>
      <c r="B901" t="inlineStr">
        <is>
          <t>Kulsrestha Joshi</t>
        </is>
      </c>
      <c r="C901" t="inlineStr">
        <is>
          <t>kulsrestha.j@osmosys.co</t>
        </is>
      </c>
      <c r="D901" t="inlineStr">
        <is>
          <t>incident-reporter</t>
        </is>
      </c>
      <c r="E901">
        <f>HYPERLINK("http://gitlab.osmosys.co/incident-reporter/incident-reporter-angular-portal", "OQSHA Portal")</f>
        <v/>
      </c>
      <c r="F901">
        <f>HYPERLINK("http://gitlab.osmosys.co/incident-reporter/incident-reporter-angular-portal/-/merge_requests/3694", "feat: add employee kpi list page")</f>
        <v/>
      </c>
      <c r="G901" t="inlineStr">
        <is>
          <t>feat/employee-kpi-list</t>
        </is>
      </c>
      <c r="H901" t="inlineStr">
        <is>
          <t>sprint-19</t>
        </is>
      </c>
      <c r="I901" t="inlineStr">
        <is>
          <t>merged</t>
        </is>
      </c>
      <c r="J901" t="inlineStr">
        <is>
          <t>deb9acaa431b2645442c95c67e1a0bfe8edc44ec</t>
        </is>
      </c>
      <c r="K901">
        <f>HYPERLINK("http://gitlab.osmosys.co/incident-reporter/incident-reporter-angular-portal/-/merge_requests/3694#note_246619", "Updated")</f>
        <v/>
      </c>
      <c r="L901" t="inlineStr">
        <is>
          <t>2025-08-02 23:40:21.018 IST</t>
        </is>
      </c>
      <c r="M901" t="inlineStr">
        <is>
          <t>Kulsrestha Joshi</t>
        </is>
      </c>
      <c r="N901" t="inlineStr">
        <is>
          <t>No</t>
        </is>
      </c>
      <c r="O901" t="inlineStr">
        <is>
          <t>Yes</t>
        </is>
      </c>
      <c r="P901" t="inlineStr">
        <is>
          <t>Soundariya B</t>
        </is>
      </c>
      <c r="Q901" t="inlineStr">
        <is>
          <t>Bad</t>
        </is>
      </c>
    </row>
    <row r="902">
      <c r="A902" t="inlineStr">
        <is>
          <t>kulsrestha.j</t>
        </is>
      </c>
      <c r="B902" t="inlineStr">
        <is>
          <t>Kulsrestha Joshi</t>
        </is>
      </c>
      <c r="C902" t="inlineStr">
        <is>
          <t>kulsrestha.j@osmosys.co</t>
        </is>
      </c>
      <c r="D902" t="inlineStr">
        <is>
          <t>incident-reporter</t>
        </is>
      </c>
      <c r="E902">
        <f>HYPERLINK("http://gitlab.osmosys.co/incident-reporter/incident-reporter-angular-portal", "OQSHA Portal")</f>
        <v/>
      </c>
      <c r="F902">
        <f>HYPERLINK("http://gitlab.osmosys.co/incident-reporter/incident-reporter-angular-portal/-/merge_requests/3694", "feat: add employee kpi list page")</f>
        <v/>
      </c>
      <c r="G902" t="inlineStr">
        <is>
          <t>feat/employee-kpi-list</t>
        </is>
      </c>
      <c r="H902" t="inlineStr">
        <is>
          <t>sprint-19</t>
        </is>
      </c>
      <c r="I902" t="inlineStr">
        <is>
          <t>merged</t>
        </is>
      </c>
      <c r="J902" t="inlineStr">
        <is>
          <t>3f1211633a576608ee1bbc80d45507371ab82cce</t>
        </is>
      </c>
      <c r="K902">
        <f>HYPERLINK("http://gitlab.osmosys.co/incident-reporter/incident-reporter-angular-portal/-/merge_requests/3694#note_246566", "You can write like this - selectedFromDate || ''")</f>
        <v/>
      </c>
      <c r="L902" t="inlineStr">
        <is>
          <t>2025-08-02 20:57:43.787 IST</t>
        </is>
      </c>
      <c r="M902" t="inlineStr">
        <is>
          <t>Soundariya B</t>
        </is>
      </c>
      <c r="N902" t="inlineStr">
        <is>
          <t>Yes</t>
        </is>
      </c>
      <c r="O902" t="inlineStr">
        <is>
          <t>Yes</t>
        </is>
      </c>
      <c r="P902" t="inlineStr">
        <is>
          <t>Soundariya B</t>
        </is>
      </c>
      <c r="Q902" t="inlineStr">
        <is>
          <t>Bad</t>
        </is>
      </c>
    </row>
    <row r="903">
      <c r="A903" t="inlineStr">
        <is>
          <t>kulsrestha.j</t>
        </is>
      </c>
      <c r="B903" t="inlineStr">
        <is>
          <t>Kulsrestha Joshi</t>
        </is>
      </c>
      <c r="C903" t="inlineStr">
        <is>
          <t>kulsrestha.j@osmosys.co</t>
        </is>
      </c>
      <c r="D903" t="inlineStr">
        <is>
          <t>incident-reporter</t>
        </is>
      </c>
      <c r="E903">
        <f>HYPERLINK("http://gitlab.osmosys.co/incident-reporter/incident-reporter-angular-portal", "OQSHA Portal")</f>
        <v/>
      </c>
      <c r="F903">
        <f>HYPERLINK("http://gitlab.osmosys.co/incident-reporter/incident-reporter-angular-portal/-/merge_requests/3694", "feat: add employee kpi list page")</f>
        <v/>
      </c>
      <c r="G903" t="inlineStr">
        <is>
          <t>feat/employee-kpi-list</t>
        </is>
      </c>
      <c r="H903" t="inlineStr">
        <is>
          <t>sprint-19</t>
        </is>
      </c>
      <c r="I903" t="inlineStr">
        <is>
          <t>merged</t>
        </is>
      </c>
      <c r="J903" t="inlineStr">
        <is>
          <t>3f1211633a576608ee1bbc80d45507371ab82cce</t>
        </is>
      </c>
      <c r="K903">
        <f>HYPERLINK("http://gitlab.osmosys.co/incident-reporter/incident-reporter-angular-portal/-/merge_requests/3694#note_246622", "Removed it as it is not required")</f>
        <v/>
      </c>
      <c r="L903" t="inlineStr">
        <is>
          <t>2025-08-02 23:44:19.535 IST</t>
        </is>
      </c>
      <c r="M903" t="inlineStr">
        <is>
          <t>Kulsrestha Joshi</t>
        </is>
      </c>
      <c r="N903" t="inlineStr">
        <is>
          <t>No</t>
        </is>
      </c>
      <c r="O903" t="inlineStr">
        <is>
          <t>Yes</t>
        </is>
      </c>
      <c r="P903" t="inlineStr">
        <is>
          <t>Soundariya B</t>
        </is>
      </c>
      <c r="Q903" t="inlineStr">
        <is>
          <t>Bad</t>
        </is>
      </c>
    </row>
    <row r="904">
      <c r="A904" t="inlineStr">
        <is>
          <t>kulsrestha.j</t>
        </is>
      </c>
      <c r="B904" t="inlineStr">
        <is>
          <t>Kulsrestha Joshi</t>
        </is>
      </c>
      <c r="C904" t="inlineStr">
        <is>
          <t>kulsrestha.j@osmosys.co</t>
        </is>
      </c>
      <c r="D904" t="inlineStr">
        <is>
          <t>incident-reporter</t>
        </is>
      </c>
      <c r="E904">
        <f>HYPERLINK("http://gitlab.osmosys.co/incident-reporter/incident-reporter-angular-portal", "OQSHA Portal")</f>
        <v/>
      </c>
      <c r="F904">
        <f>HYPERLINK("http://gitlab.osmosys.co/incident-reporter/incident-reporter-angular-portal/-/merge_requests/3694", "feat: add employee kpi list page")</f>
        <v/>
      </c>
      <c r="G904" t="inlineStr">
        <is>
          <t>feat/employee-kpi-list</t>
        </is>
      </c>
      <c r="H904" t="inlineStr">
        <is>
          <t>sprint-19</t>
        </is>
      </c>
      <c r="I904" t="inlineStr">
        <is>
          <t>merged</t>
        </is>
      </c>
      <c r="J904" t="inlineStr">
        <is>
          <t>5f485fe417cf66dd3d4a2d27271dc3c76b26b58f</t>
        </is>
      </c>
      <c r="K904">
        <f>HYPERLINK("http://gitlab.osmosys.co/incident-reporter/incident-reporter-angular-portal/-/merge_requests/3694#note_246567", "For all labels, please add the 'for' attribute and 'id' attribute to the respective element -- Fix it everywhere")</f>
        <v/>
      </c>
      <c r="L904" t="inlineStr">
        <is>
          <t>2025-08-02 20:57:43.857 IST</t>
        </is>
      </c>
      <c r="M904" t="inlineStr">
        <is>
          <t>Soundariya B</t>
        </is>
      </c>
      <c r="N904" t="inlineStr">
        <is>
          <t>Yes</t>
        </is>
      </c>
      <c r="O904" t="inlineStr">
        <is>
          <t>Yes</t>
        </is>
      </c>
      <c r="P904" t="inlineStr">
        <is>
          <t>Soundariya B</t>
        </is>
      </c>
      <c r="Q904" t="inlineStr">
        <is>
          <t>Bad</t>
        </is>
      </c>
    </row>
    <row r="905">
      <c r="A905" t="inlineStr">
        <is>
          <t>kulsrestha.j</t>
        </is>
      </c>
      <c r="B905" t="inlineStr">
        <is>
          <t>Kulsrestha Joshi</t>
        </is>
      </c>
      <c r="C905" t="inlineStr">
        <is>
          <t>kulsrestha.j@osmosys.co</t>
        </is>
      </c>
      <c r="D905" t="inlineStr">
        <is>
          <t>incident-reporter</t>
        </is>
      </c>
      <c r="E905">
        <f>HYPERLINK("http://gitlab.osmosys.co/incident-reporter/incident-reporter-angular-portal", "OQSHA Portal")</f>
        <v/>
      </c>
      <c r="F905">
        <f>HYPERLINK("http://gitlab.osmosys.co/incident-reporter/incident-reporter-angular-portal/-/merge_requests/3694", "feat: add employee kpi list page")</f>
        <v/>
      </c>
      <c r="G905" t="inlineStr">
        <is>
          <t>feat/employee-kpi-list</t>
        </is>
      </c>
      <c r="H905" t="inlineStr">
        <is>
          <t>sprint-19</t>
        </is>
      </c>
      <c r="I905" t="inlineStr">
        <is>
          <t>merged</t>
        </is>
      </c>
      <c r="J905" t="inlineStr">
        <is>
          <t>5f485fe417cf66dd3d4a2d27271dc3c76b26b58f</t>
        </is>
      </c>
      <c r="K905">
        <f>HYPERLINK("http://gitlab.osmosys.co/incident-reporter/incident-reporter-angular-portal/-/merge_requests/3694#note_246641", "Done")</f>
        <v/>
      </c>
      <c r="L905" t="inlineStr">
        <is>
          <t>2025-08-03 00:21:40.358 IST</t>
        </is>
      </c>
      <c r="M905" t="inlineStr">
        <is>
          <t>Kulsrestha Joshi</t>
        </is>
      </c>
      <c r="N905" t="inlineStr">
        <is>
          <t>No</t>
        </is>
      </c>
      <c r="O905" t="inlineStr">
        <is>
          <t>Yes</t>
        </is>
      </c>
      <c r="P905" t="inlineStr">
        <is>
          <t>Soundariya B</t>
        </is>
      </c>
      <c r="Q905" t="inlineStr">
        <is>
          <t>Bad</t>
        </is>
      </c>
    </row>
    <row r="906">
      <c r="A906" t="inlineStr">
        <is>
          <t>kulsrestha.j</t>
        </is>
      </c>
      <c r="B906" t="inlineStr">
        <is>
          <t>Kulsrestha Joshi</t>
        </is>
      </c>
      <c r="C906" t="inlineStr">
        <is>
          <t>kulsrestha.j@osmosys.co</t>
        </is>
      </c>
      <c r="D906" t="inlineStr">
        <is>
          <t>incident-reporter</t>
        </is>
      </c>
      <c r="E906">
        <f>HYPERLINK("http://gitlab.osmosys.co/incident-reporter/incident-reporter-angular-portal", "OQSHA Portal")</f>
        <v/>
      </c>
      <c r="F906">
        <f>HYPERLINK("http://gitlab.osmosys.co/incident-reporter/incident-reporter-angular-portal/-/merge_requests/3694", "feat: add employee kpi list page")</f>
        <v/>
      </c>
      <c r="G906" t="inlineStr">
        <is>
          <t>feat/employee-kpi-list</t>
        </is>
      </c>
      <c r="H906" t="inlineStr">
        <is>
          <t>sprint-19</t>
        </is>
      </c>
      <c r="I906" t="inlineStr">
        <is>
          <t>merged</t>
        </is>
      </c>
      <c r="J906" t="inlineStr">
        <is>
          <t>3d6ee39fac8bc782db561d397284eb5c8105b5ac</t>
        </is>
      </c>
      <c r="K906">
        <f>HYPERLINK("http://gitlab.osmosys.co/incident-reporter/incident-reporter-angular-portal/-/merge_requests/3694#note_246568", "You can write like this - selectedToDate || ''")</f>
        <v/>
      </c>
      <c r="L906" t="inlineStr">
        <is>
          <t>2025-08-02 20:57:43.911 IST</t>
        </is>
      </c>
      <c r="M906" t="inlineStr">
        <is>
          <t>Soundariya B</t>
        </is>
      </c>
      <c r="N906" t="inlineStr">
        <is>
          <t>Yes</t>
        </is>
      </c>
      <c r="O906" t="inlineStr">
        <is>
          <t>Yes</t>
        </is>
      </c>
      <c r="P906" t="inlineStr">
        <is>
          <t>Soundariya B</t>
        </is>
      </c>
      <c r="Q906" t="inlineStr">
        <is>
          <t>Bad</t>
        </is>
      </c>
    </row>
    <row r="907">
      <c r="A907" t="inlineStr">
        <is>
          <t>kulsrestha.j</t>
        </is>
      </c>
      <c r="B907" t="inlineStr">
        <is>
          <t>Kulsrestha Joshi</t>
        </is>
      </c>
      <c r="C907" t="inlineStr">
        <is>
          <t>kulsrestha.j@osmosys.co</t>
        </is>
      </c>
      <c r="D907" t="inlineStr">
        <is>
          <t>incident-reporter</t>
        </is>
      </c>
      <c r="E907">
        <f>HYPERLINK("http://gitlab.osmosys.co/incident-reporter/incident-reporter-angular-portal", "OQSHA Portal")</f>
        <v/>
      </c>
      <c r="F907">
        <f>HYPERLINK("http://gitlab.osmosys.co/incident-reporter/incident-reporter-angular-portal/-/merge_requests/3694", "feat: add employee kpi list page")</f>
        <v/>
      </c>
      <c r="G907" t="inlineStr">
        <is>
          <t>feat/employee-kpi-list</t>
        </is>
      </c>
      <c r="H907" t="inlineStr">
        <is>
          <t>sprint-19</t>
        </is>
      </c>
      <c r="I907" t="inlineStr">
        <is>
          <t>merged</t>
        </is>
      </c>
      <c r="J907" t="inlineStr">
        <is>
          <t>3d6ee39fac8bc782db561d397284eb5c8105b5ac</t>
        </is>
      </c>
      <c r="K907">
        <f>HYPERLINK("http://gitlab.osmosys.co/incident-reporter/incident-reporter-angular-portal/-/merge_requests/3694#note_246623", "Removed it as it is not required")</f>
        <v/>
      </c>
      <c r="L907" t="inlineStr">
        <is>
          <t>2025-08-02 23:44:29.726 IST</t>
        </is>
      </c>
      <c r="M907" t="inlineStr">
        <is>
          <t>Kulsrestha Joshi</t>
        </is>
      </c>
      <c r="N907" t="inlineStr">
        <is>
          <t>No</t>
        </is>
      </c>
      <c r="O907" t="inlineStr">
        <is>
          <t>Yes</t>
        </is>
      </c>
      <c r="P907" t="inlineStr">
        <is>
          <t>Soundariya B</t>
        </is>
      </c>
      <c r="Q907" t="inlineStr">
        <is>
          <t>Bad</t>
        </is>
      </c>
    </row>
    <row r="908">
      <c r="A908" t="inlineStr">
        <is>
          <t>kulsrestha.j</t>
        </is>
      </c>
      <c r="B908" t="inlineStr">
        <is>
          <t>Kulsrestha Joshi</t>
        </is>
      </c>
      <c r="C908" t="inlineStr">
        <is>
          <t>kulsrestha.j@osmosys.co</t>
        </is>
      </c>
      <c r="D908" t="inlineStr">
        <is>
          <t>incident-reporter</t>
        </is>
      </c>
      <c r="E908">
        <f>HYPERLINK("http://gitlab.osmosys.co/incident-reporter/incident-reporter-angular-portal", "OQSHA Portal")</f>
        <v/>
      </c>
      <c r="F908">
        <f>HYPERLINK("http://gitlab.osmosys.co/incident-reporter/incident-reporter-angular-portal/-/merge_requests/3694", "feat: add employee kpi list page")</f>
        <v/>
      </c>
      <c r="G908" t="inlineStr">
        <is>
          <t>feat/employee-kpi-list</t>
        </is>
      </c>
      <c r="H908" t="inlineStr">
        <is>
          <t>sprint-19</t>
        </is>
      </c>
      <c r="I908" t="inlineStr">
        <is>
          <t>merged</t>
        </is>
      </c>
      <c r="J908" t="inlineStr">
        <is>
          <t>37cd9d5d1e4f330a0e02b4693c676eabde3611b9</t>
        </is>
      </c>
      <c r="K908">
        <f>HYPERLINK("http://gitlab.osmosys.co/incident-reporter/incident-reporter-angular-portal/-/merge_requests/3694#note_246569", "Why labels are not using consistent ? please check the letter case -- Fix everywhere")</f>
        <v/>
      </c>
      <c r="L908" t="inlineStr">
        <is>
          <t>2025-08-02 20:57:43.998 IST</t>
        </is>
      </c>
      <c r="M908" t="inlineStr">
        <is>
          <t>Soundariya B</t>
        </is>
      </c>
      <c r="N908" t="inlineStr">
        <is>
          <t>Yes</t>
        </is>
      </c>
      <c r="O908" t="inlineStr">
        <is>
          <t>Yes</t>
        </is>
      </c>
      <c r="P908" t="inlineStr">
        <is>
          <t>Soundariya B</t>
        </is>
      </c>
      <c r="Q908" t="inlineStr">
        <is>
          <t>Bad</t>
        </is>
      </c>
    </row>
    <row r="909">
      <c r="A909" t="inlineStr">
        <is>
          <t>kulsrestha.j</t>
        </is>
      </c>
      <c r="B909" t="inlineStr">
        <is>
          <t>Kulsrestha Joshi</t>
        </is>
      </c>
      <c r="C909" t="inlineStr">
        <is>
          <t>kulsrestha.j@osmosys.co</t>
        </is>
      </c>
      <c r="D909" t="inlineStr">
        <is>
          <t>incident-reporter</t>
        </is>
      </c>
      <c r="E909">
        <f>HYPERLINK("http://gitlab.osmosys.co/incident-reporter/incident-reporter-angular-portal", "OQSHA Portal")</f>
        <v/>
      </c>
      <c r="F909">
        <f>HYPERLINK("http://gitlab.osmosys.co/incident-reporter/incident-reporter-angular-portal/-/merge_requests/3694", "feat: add employee kpi list page")</f>
        <v/>
      </c>
      <c r="G909" t="inlineStr">
        <is>
          <t>feat/employee-kpi-list</t>
        </is>
      </c>
      <c r="H909" t="inlineStr">
        <is>
          <t>sprint-19</t>
        </is>
      </c>
      <c r="I909" t="inlineStr">
        <is>
          <t>merged</t>
        </is>
      </c>
      <c r="J909" t="inlineStr">
        <is>
          <t>37cd9d5d1e4f330a0e02b4693c676eabde3611b9</t>
        </is>
      </c>
      <c r="K909">
        <f>HYPERLINK("http://gitlab.osmosys.co/incident-reporter/incident-reporter-angular-portal/-/merge_requests/3694#note_246635", "updated")</f>
        <v/>
      </c>
      <c r="L909" t="inlineStr">
        <is>
          <t>2025-08-03 00:03:02.992 IST</t>
        </is>
      </c>
      <c r="M909" t="inlineStr">
        <is>
          <t>Kulsrestha Joshi</t>
        </is>
      </c>
      <c r="N909" t="inlineStr">
        <is>
          <t>No</t>
        </is>
      </c>
      <c r="O909" t="inlineStr">
        <is>
          <t>Yes</t>
        </is>
      </c>
      <c r="P909" t="inlineStr">
        <is>
          <t>Soundariya B</t>
        </is>
      </c>
      <c r="Q909" t="inlineStr">
        <is>
          <t>Bad</t>
        </is>
      </c>
    </row>
    <row r="910">
      <c r="A910" t="inlineStr">
        <is>
          <t>kulsrestha.j</t>
        </is>
      </c>
      <c r="B910" t="inlineStr">
        <is>
          <t>Kulsrestha Joshi</t>
        </is>
      </c>
      <c r="C910" t="inlineStr">
        <is>
          <t>kulsrestha.j@osmosys.co</t>
        </is>
      </c>
      <c r="D910" t="inlineStr">
        <is>
          <t>incident-reporter</t>
        </is>
      </c>
      <c r="E910">
        <f>HYPERLINK("http://gitlab.osmosys.co/incident-reporter/incident-reporter-angular-portal", "OQSHA Portal")</f>
        <v/>
      </c>
      <c r="F910">
        <f>HYPERLINK("http://gitlab.osmosys.co/incident-reporter/incident-reporter-angular-portal/-/merge_requests/3694", "feat: add employee kpi list page")</f>
        <v/>
      </c>
      <c r="G910" t="inlineStr">
        <is>
          <t>feat/employee-kpi-list</t>
        </is>
      </c>
      <c r="H910" t="inlineStr">
        <is>
          <t>sprint-19</t>
        </is>
      </c>
      <c r="I910" t="inlineStr">
        <is>
          <t>merged</t>
        </is>
      </c>
      <c r="J910" t="inlineStr">
        <is>
          <t>15e5dcd30bb2725c750c8d95d61af6cd1e96a18e</t>
        </is>
      </c>
      <c r="K910">
        <f>HYPERLINK("http://gitlab.osmosys.co/incident-reporter/incident-reporter-angular-portal/-/merge_requests/3694#note_246570", "Why labels are not using consistent ? please check the letter case -- Fix everywhere
Declare the data type of the variable")</f>
        <v/>
      </c>
      <c r="L910" t="inlineStr">
        <is>
          <t>2025-08-02 20:57:44.051 IST</t>
        </is>
      </c>
      <c r="M910" t="inlineStr">
        <is>
          <t>Soundariya B</t>
        </is>
      </c>
      <c r="N910" t="inlineStr">
        <is>
          <t>Yes</t>
        </is>
      </c>
      <c r="O910" t="inlineStr">
        <is>
          <t>Yes</t>
        </is>
      </c>
      <c r="P910" t="inlineStr">
        <is>
          <t>Soundariya B</t>
        </is>
      </c>
      <c r="Q910" t="inlineStr">
        <is>
          <t>Bad</t>
        </is>
      </c>
    </row>
    <row r="911">
      <c r="A911" t="inlineStr">
        <is>
          <t>kulsrestha.j</t>
        </is>
      </c>
      <c r="B911" t="inlineStr">
        <is>
          <t>Kulsrestha Joshi</t>
        </is>
      </c>
      <c r="C911" t="inlineStr">
        <is>
          <t>kulsrestha.j@osmosys.co</t>
        </is>
      </c>
      <c r="D911" t="inlineStr">
        <is>
          <t>incident-reporter</t>
        </is>
      </c>
      <c r="E911">
        <f>HYPERLINK("http://gitlab.osmosys.co/incident-reporter/incident-reporter-angular-portal", "OQSHA Portal")</f>
        <v/>
      </c>
      <c r="F911">
        <f>HYPERLINK("http://gitlab.osmosys.co/incident-reporter/incident-reporter-angular-portal/-/merge_requests/3694", "feat: add employee kpi list page")</f>
        <v/>
      </c>
      <c r="G911" t="inlineStr">
        <is>
          <t>feat/employee-kpi-list</t>
        </is>
      </c>
      <c r="H911" t="inlineStr">
        <is>
          <t>sprint-19</t>
        </is>
      </c>
      <c r="I911" t="inlineStr">
        <is>
          <t>merged</t>
        </is>
      </c>
      <c r="J911" t="inlineStr">
        <is>
          <t>15e5dcd30bb2725c750c8d95d61af6cd1e96a18e</t>
        </is>
      </c>
      <c r="K911">
        <f>HYPERLINK("http://gitlab.osmosys.co/incident-reporter/incident-reporter-angular-portal/-/merge_requests/3694#note_246642", "updated")</f>
        <v/>
      </c>
      <c r="L911" t="inlineStr">
        <is>
          <t>2025-08-03 00:21:55.403 IST</t>
        </is>
      </c>
      <c r="M911" t="inlineStr">
        <is>
          <t>Kulsrestha Joshi</t>
        </is>
      </c>
      <c r="N911" t="inlineStr">
        <is>
          <t>No</t>
        </is>
      </c>
      <c r="O911" t="inlineStr">
        <is>
          <t>Yes</t>
        </is>
      </c>
      <c r="P911" t="inlineStr">
        <is>
          <t>Soundariya B</t>
        </is>
      </c>
      <c r="Q911" t="inlineStr">
        <is>
          <t>Bad</t>
        </is>
      </c>
    </row>
    <row r="912">
      <c r="A912" t="inlineStr">
        <is>
          <t>kulsrestha.j</t>
        </is>
      </c>
      <c r="B912" t="inlineStr">
        <is>
          <t>Kulsrestha Joshi</t>
        </is>
      </c>
      <c r="C912" t="inlineStr">
        <is>
          <t>kulsrestha.j@osmosys.co</t>
        </is>
      </c>
      <c r="D912" t="inlineStr">
        <is>
          <t>incident-reporter</t>
        </is>
      </c>
      <c r="E912">
        <f>HYPERLINK("http://gitlab.osmosys.co/incident-reporter/incident-reporter-angular-portal", "OQSHA Portal")</f>
        <v/>
      </c>
      <c r="F912">
        <f>HYPERLINK("http://gitlab.osmosys.co/incident-reporter/incident-reporter-angular-portal/-/merge_requests/3694", "feat: add employee kpi list page")</f>
        <v/>
      </c>
      <c r="G912" t="inlineStr">
        <is>
          <t>feat/employee-kpi-list</t>
        </is>
      </c>
      <c r="H912" t="inlineStr">
        <is>
          <t>sprint-19</t>
        </is>
      </c>
      <c r="I912" t="inlineStr">
        <is>
          <t>merged</t>
        </is>
      </c>
      <c r="J912" t="inlineStr">
        <is>
          <t>a7fc744ef601e5d9c33c32c39e16941a76523c65</t>
        </is>
      </c>
      <c r="K912">
        <f>HYPERLINK("http://gitlab.osmosys.co/incident-reporter/incident-reporter-angular-portal/-/merge_requests/3694#note_246571", "Get the 'USER_INCIDENT_SITES' from localStorage object")</f>
        <v/>
      </c>
      <c r="L912" t="inlineStr">
        <is>
          <t>2025-08-02 20:57:44.102 IST</t>
        </is>
      </c>
      <c r="M912" t="inlineStr">
        <is>
          <t>Soundariya B</t>
        </is>
      </c>
      <c r="N912" t="inlineStr">
        <is>
          <t>Yes</t>
        </is>
      </c>
      <c r="O912" t="inlineStr">
        <is>
          <t>Yes</t>
        </is>
      </c>
      <c r="P912" t="inlineStr">
        <is>
          <t>Soundariya B</t>
        </is>
      </c>
      <c r="Q912" t="inlineStr">
        <is>
          <t>Bad</t>
        </is>
      </c>
    </row>
    <row r="913">
      <c r="A913" t="inlineStr">
        <is>
          <t>kulsrestha.j</t>
        </is>
      </c>
      <c r="B913" t="inlineStr">
        <is>
          <t>Kulsrestha Joshi</t>
        </is>
      </c>
      <c r="C913" t="inlineStr">
        <is>
          <t>kulsrestha.j@osmosys.co</t>
        </is>
      </c>
      <c r="D913" t="inlineStr">
        <is>
          <t>incident-reporter</t>
        </is>
      </c>
      <c r="E913">
        <f>HYPERLINK("http://gitlab.osmosys.co/incident-reporter/incident-reporter-angular-portal", "OQSHA Portal")</f>
        <v/>
      </c>
      <c r="F913">
        <f>HYPERLINK("http://gitlab.osmosys.co/incident-reporter/incident-reporter-angular-portal/-/merge_requests/3694", "feat: add employee kpi list page")</f>
        <v/>
      </c>
      <c r="G913" t="inlineStr">
        <is>
          <t>feat/employee-kpi-list</t>
        </is>
      </c>
      <c r="H913" t="inlineStr">
        <is>
          <t>sprint-19</t>
        </is>
      </c>
      <c r="I913" t="inlineStr">
        <is>
          <t>merged</t>
        </is>
      </c>
      <c r="J913" t="inlineStr">
        <is>
          <t>a7fc744ef601e5d9c33c32c39e16941a76523c65</t>
        </is>
      </c>
      <c r="K913">
        <f>HYPERLINK("http://gitlab.osmosys.co/incident-reporter/incident-reporter-angular-portal/-/merge_requests/3694#note_246629", "updated")</f>
        <v/>
      </c>
      <c r="L913" t="inlineStr">
        <is>
          <t>2025-08-02 23:56:35.199 IST</t>
        </is>
      </c>
      <c r="M913" t="inlineStr">
        <is>
          <t>Kulsrestha Joshi</t>
        </is>
      </c>
      <c r="N913" t="inlineStr">
        <is>
          <t>No</t>
        </is>
      </c>
      <c r="O913" t="inlineStr">
        <is>
          <t>Yes</t>
        </is>
      </c>
      <c r="P913" t="inlineStr">
        <is>
          <t>Soundariya B</t>
        </is>
      </c>
      <c r="Q913" t="inlineStr">
        <is>
          <t>Bad</t>
        </is>
      </c>
    </row>
    <row r="914">
      <c r="A914" t="inlineStr">
        <is>
          <t>kulsrestha.j</t>
        </is>
      </c>
      <c r="B914" t="inlineStr">
        <is>
          <t>Kulsrestha Joshi</t>
        </is>
      </c>
      <c r="C914" t="inlineStr">
        <is>
          <t>kulsrestha.j@osmosys.co</t>
        </is>
      </c>
      <c r="D914" t="inlineStr">
        <is>
          <t>incident-reporter</t>
        </is>
      </c>
      <c r="E914">
        <f>HYPERLINK("http://gitlab.osmosys.co/incident-reporter/incident-reporter-angular-portal", "OQSHA Portal")</f>
        <v/>
      </c>
      <c r="F914">
        <f>HYPERLINK("http://gitlab.osmosys.co/incident-reporter/incident-reporter-angular-portal/-/merge_requests/3694", "feat: add employee kpi list page")</f>
        <v/>
      </c>
      <c r="G914" t="inlineStr">
        <is>
          <t>feat/employee-kpi-list</t>
        </is>
      </c>
      <c r="H914" t="inlineStr">
        <is>
          <t>sprint-19</t>
        </is>
      </c>
      <c r="I914" t="inlineStr">
        <is>
          <t>merged</t>
        </is>
      </c>
      <c r="J914" t="inlineStr">
        <is>
          <t>3b8ba99e56bf68031e65ec0fd3b12e62b2a7cec1</t>
        </is>
      </c>
      <c r="K914">
        <f>HYPERLINK("http://gitlab.osmosys.co/incident-reporter/incident-reporter-angular-portal/-/merge_requests/3694#note_246572", "It should be a sitesDropdownSettings as this is not an incident page so please change it.")</f>
        <v/>
      </c>
      <c r="L914" t="inlineStr">
        <is>
          <t>2025-08-02 20:57:44.153 IST</t>
        </is>
      </c>
      <c r="M914" t="inlineStr">
        <is>
          <t>Soundariya B</t>
        </is>
      </c>
      <c r="N914" t="inlineStr">
        <is>
          <t>Yes</t>
        </is>
      </c>
      <c r="O914" t="inlineStr">
        <is>
          <t>Yes</t>
        </is>
      </c>
      <c r="P914" t="inlineStr">
        <is>
          <t>Soundariya B</t>
        </is>
      </c>
      <c r="Q914" t="inlineStr">
        <is>
          <t>Bad</t>
        </is>
      </c>
    </row>
    <row r="915">
      <c r="A915" t="inlineStr">
        <is>
          <t>kulsrestha.j</t>
        </is>
      </c>
      <c r="B915" t="inlineStr">
        <is>
          <t>Kulsrestha Joshi</t>
        </is>
      </c>
      <c r="C915" t="inlineStr">
        <is>
          <t>kulsrestha.j@osmosys.co</t>
        </is>
      </c>
      <c r="D915" t="inlineStr">
        <is>
          <t>incident-reporter</t>
        </is>
      </c>
      <c r="E915">
        <f>HYPERLINK("http://gitlab.osmosys.co/incident-reporter/incident-reporter-angular-portal", "OQSHA Portal")</f>
        <v/>
      </c>
      <c r="F915">
        <f>HYPERLINK("http://gitlab.osmosys.co/incident-reporter/incident-reporter-angular-portal/-/merge_requests/3694", "feat: add employee kpi list page")</f>
        <v/>
      </c>
      <c r="G915" t="inlineStr">
        <is>
          <t>feat/employee-kpi-list</t>
        </is>
      </c>
      <c r="H915" t="inlineStr">
        <is>
          <t>sprint-19</t>
        </is>
      </c>
      <c r="I915" t="inlineStr">
        <is>
          <t>merged</t>
        </is>
      </c>
      <c r="J915" t="inlineStr">
        <is>
          <t>3b8ba99e56bf68031e65ec0fd3b12e62b2a7cec1</t>
        </is>
      </c>
      <c r="K915">
        <f>HYPERLINK("http://gitlab.osmosys.co/incident-reporter/incident-reporter-angular-portal/-/merge_requests/3694#note_246630", "updated")</f>
        <v/>
      </c>
      <c r="L915" t="inlineStr">
        <is>
          <t>2025-08-02 23:56:50.964 IST</t>
        </is>
      </c>
      <c r="M915" t="inlineStr">
        <is>
          <t>Kulsrestha Joshi</t>
        </is>
      </c>
      <c r="N915" t="inlineStr">
        <is>
          <t>No</t>
        </is>
      </c>
      <c r="O915" t="inlineStr">
        <is>
          <t>Yes</t>
        </is>
      </c>
      <c r="P915" t="inlineStr">
        <is>
          <t>Soundariya B</t>
        </is>
      </c>
      <c r="Q915" t="inlineStr">
        <is>
          <t>Bad</t>
        </is>
      </c>
    </row>
    <row r="916">
      <c r="A916" t="inlineStr">
        <is>
          <t>kulsrestha.j</t>
        </is>
      </c>
      <c r="B916" t="inlineStr">
        <is>
          <t>Kulsrestha Joshi</t>
        </is>
      </c>
      <c r="C916" t="inlineStr">
        <is>
          <t>kulsrestha.j@osmosys.co</t>
        </is>
      </c>
      <c r="D916" t="inlineStr">
        <is>
          <t>incident-reporter</t>
        </is>
      </c>
      <c r="E916">
        <f>HYPERLINK("http://gitlab.osmosys.co/incident-reporter/incident-reporter-angular-portal", "OQSHA Portal")</f>
        <v/>
      </c>
      <c r="F916">
        <f>HYPERLINK("http://gitlab.osmosys.co/incident-reporter/incident-reporter-angular-portal/-/merge_requests/3694", "feat: add employee kpi list page")</f>
        <v/>
      </c>
      <c r="G916" t="inlineStr">
        <is>
          <t>feat/employee-kpi-list</t>
        </is>
      </c>
      <c r="H916" t="inlineStr">
        <is>
          <t>sprint-19</t>
        </is>
      </c>
      <c r="I916" t="inlineStr">
        <is>
          <t>merged</t>
        </is>
      </c>
      <c r="J916" t="inlineStr">
        <is>
          <t>7afaf426aeea8a580f89e2d08f8966b23093f773</t>
        </is>
      </c>
      <c r="K916">
        <f>HYPERLINK("http://gitlab.osmosys.co/incident-reporter/incident-reporter-angular-portal/-/merge_requests/3694#note_246573", "It should be an employeeSitesDropdownSettings as this is not an incident page so please change it.")</f>
        <v/>
      </c>
      <c r="L916" t="inlineStr">
        <is>
          <t>2025-08-02 20:57:44.206 IST</t>
        </is>
      </c>
      <c r="M916" t="inlineStr">
        <is>
          <t>Soundariya B</t>
        </is>
      </c>
      <c r="N916" t="inlineStr">
        <is>
          <t>Yes</t>
        </is>
      </c>
      <c r="O916" t="inlineStr">
        <is>
          <t>Yes</t>
        </is>
      </c>
      <c r="P916" t="inlineStr">
        <is>
          <t>Soundariya B</t>
        </is>
      </c>
      <c r="Q916" t="inlineStr">
        <is>
          <t>Bad</t>
        </is>
      </c>
    </row>
    <row r="917">
      <c r="A917" t="inlineStr">
        <is>
          <t>kulsrestha.j</t>
        </is>
      </c>
      <c r="B917" t="inlineStr">
        <is>
          <t>Kulsrestha Joshi</t>
        </is>
      </c>
      <c r="C917" t="inlineStr">
        <is>
          <t>kulsrestha.j@osmosys.co</t>
        </is>
      </c>
      <c r="D917" t="inlineStr">
        <is>
          <t>incident-reporter</t>
        </is>
      </c>
      <c r="E917">
        <f>HYPERLINK("http://gitlab.osmosys.co/incident-reporter/incident-reporter-angular-portal", "OQSHA Portal")</f>
        <v/>
      </c>
      <c r="F917">
        <f>HYPERLINK("http://gitlab.osmosys.co/incident-reporter/incident-reporter-angular-portal/-/merge_requests/3694", "feat: add employee kpi list page")</f>
        <v/>
      </c>
      <c r="G917" t="inlineStr">
        <is>
          <t>feat/employee-kpi-list</t>
        </is>
      </c>
      <c r="H917" t="inlineStr">
        <is>
          <t>sprint-19</t>
        </is>
      </c>
      <c r="I917" t="inlineStr">
        <is>
          <t>merged</t>
        </is>
      </c>
      <c r="J917" t="inlineStr">
        <is>
          <t>7afaf426aeea8a580f89e2d08f8966b23093f773</t>
        </is>
      </c>
      <c r="K917">
        <f>HYPERLINK("http://gitlab.osmosys.co/incident-reporter/incident-reporter-angular-portal/-/merge_requests/3694#note_246631", "updated to sitesDropdownSettings")</f>
        <v/>
      </c>
      <c r="L917" t="inlineStr">
        <is>
          <t>2025-08-02 23:56:58.729 IST</t>
        </is>
      </c>
      <c r="M917" t="inlineStr">
        <is>
          <t>Kulsrestha Joshi</t>
        </is>
      </c>
      <c r="N917" t="inlineStr">
        <is>
          <t>No</t>
        </is>
      </c>
      <c r="O917" t="inlineStr">
        <is>
          <t>Yes</t>
        </is>
      </c>
      <c r="P917" t="inlineStr">
        <is>
          <t>Soundariya B</t>
        </is>
      </c>
      <c r="Q917" t="inlineStr">
        <is>
          <t>Bad</t>
        </is>
      </c>
    </row>
    <row r="918">
      <c r="A918" t="inlineStr">
        <is>
          <t>kulsrestha.j</t>
        </is>
      </c>
      <c r="B918" t="inlineStr">
        <is>
          <t>Kulsrestha Joshi</t>
        </is>
      </c>
      <c r="C918" t="inlineStr">
        <is>
          <t>kulsrestha.j@osmosys.co</t>
        </is>
      </c>
      <c r="D918" t="inlineStr">
        <is>
          <t>incident-reporter</t>
        </is>
      </c>
      <c r="E918">
        <f>HYPERLINK("http://gitlab.osmosys.co/incident-reporter/incident-reporter-angular-portal", "OQSHA Portal")</f>
        <v/>
      </c>
      <c r="F918">
        <f>HYPERLINK("http://gitlab.osmosys.co/incident-reporter/incident-reporter-angular-portal/-/merge_requests/3694", "feat: add employee kpi list page")</f>
        <v/>
      </c>
      <c r="G918" t="inlineStr">
        <is>
          <t>feat/employee-kpi-list</t>
        </is>
      </c>
      <c r="H918" t="inlineStr">
        <is>
          <t>sprint-19</t>
        </is>
      </c>
      <c r="I918" t="inlineStr">
        <is>
          <t>merged</t>
        </is>
      </c>
      <c r="J918" t="inlineStr">
        <is>
          <t>f322e63f7447f78586ae2be35aee9973262e1bb1</t>
        </is>
      </c>
      <c r="K918">
        <f>HYPERLINK("http://gitlab.osmosys.co/incident-reporter/incident-reporter-angular-portal/-/merge_requests/3694#note_246574", "It should be just siteList as this is not an incident page so please change it.")</f>
        <v/>
      </c>
      <c r="L918" t="inlineStr">
        <is>
          <t>2025-08-02 20:57:44.260 IST</t>
        </is>
      </c>
      <c r="M918" t="inlineStr">
        <is>
          <t>Soundariya B</t>
        </is>
      </c>
      <c r="N918" t="inlineStr">
        <is>
          <t>Yes</t>
        </is>
      </c>
      <c r="O918" t="inlineStr">
        <is>
          <t>Yes</t>
        </is>
      </c>
      <c r="P918" t="inlineStr">
        <is>
          <t>Soundariya B</t>
        </is>
      </c>
      <c r="Q918" t="inlineStr">
        <is>
          <t>Bad</t>
        </is>
      </c>
    </row>
    <row r="919">
      <c r="A919" t="inlineStr">
        <is>
          <t>kulsrestha.j</t>
        </is>
      </c>
      <c r="B919" t="inlineStr">
        <is>
          <t>Kulsrestha Joshi</t>
        </is>
      </c>
      <c r="C919" t="inlineStr">
        <is>
          <t>kulsrestha.j@osmosys.co</t>
        </is>
      </c>
      <c r="D919" t="inlineStr">
        <is>
          <t>incident-reporter</t>
        </is>
      </c>
      <c r="E919">
        <f>HYPERLINK("http://gitlab.osmosys.co/incident-reporter/incident-reporter-angular-portal", "OQSHA Portal")</f>
        <v/>
      </c>
      <c r="F919">
        <f>HYPERLINK("http://gitlab.osmosys.co/incident-reporter/incident-reporter-angular-portal/-/merge_requests/3694", "feat: add employee kpi list page")</f>
        <v/>
      </c>
      <c r="G919" t="inlineStr">
        <is>
          <t>feat/employee-kpi-list</t>
        </is>
      </c>
      <c r="H919" t="inlineStr">
        <is>
          <t>sprint-19</t>
        </is>
      </c>
      <c r="I919" t="inlineStr">
        <is>
          <t>merged</t>
        </is>
      </c>
      <c r="J919" t="inlineStr">
        <is>
          <t>f322e63f7447f78586ae2be35aee9973262e1bb1</t>
        </is>
      </c>
      <c r="K919">
        <f>HYPERLINK("http://gitlab.osmosys.co/incident-reporter/incident-reporter-angular-portal/-/merge_requests/3694#note_246632", "udpated")</f>
        <v/>
      </c>
      <c r="L919" t="inlineStr">
        <is>
          <t>2025-08-02 23:57:08.872 IST</t>
        </is>
      </c>
      <c r="M919" t="inlineStr">
        <is>
          <t>Kulsrestha Joshi</t>
        </is>
      </c>
      <c r="N919" t="inlineStr">
        <is>
          <t>No</t>
        </is>
      </c>
      <c r="O919" t="inlineStr">
        <is>
          <t>Yes</t>
        </is>
      </c>
      <c r="P919" t="inlineStr">
        <is>
          <t>Soundariya B</t>
        </is>
      </c>
      <c r="Q919" t="inlineStr">
        <is>
          <t>Bad</t>
        </is>
      </c>
    </row>
    <row r="920">
      <c r="A920" t="inlineStr">
        <is>
          <t>kulsrestha.j</t>
        </is>
      </c>
      <c r="B920" t="inlineStr">
        <is>
          <t>Kulsrestha Joshi</t>
        </is>
      </c>
      <c r="C920" t="inlineStr">
        <is>
          <t>kulsrestha.j@osmosys.co</t>
        </is>
      </c>
      <c r="D920" t="inlineStr">
        <is>
          <t>incident-reporter</t>
        </is>
      </c>
      <c r="E920">
        <f>HYPERLINK("http://gitlab.osmosys.co/incident-reporter/incident-reporter-angular-portal", "OQSHA Portal")</f>
        <v/>
      </c>
      <c r="F920">
        <f>HYPERLINK("http://gitlab.osmosys.co/incident-reporter/incident-reporter-angular-portal/-/merge_requests/3694", "feat: add employee kpi list page")</f>
        <v/>
      </c>
      <c r="G920" t="inlineStr">
        <is>
          <t>feat/employee-kpi-list</t>
        </is>
      </c>
      <c r="H920" t="inlineStr">
        <is>
          <t>sprint-19</t>
        </is>
      </c>
      <c r="I920" t="inlineStr">
        <is>
          <t>merged</t>
        </is>
      </c>
      <c r="J920" t="inlineStr">
        <is>
          <t>ddb34a8de588c14f962ff6d8fed67aa50e7c3d6a</t>
        </is>
      </c>
      <c r="K920">
        <f>HYPERLINK("http://gitlab.osmosys.co/incident-reporter/incident-reporter-angular-portal/-/merge_requests/3694#note_246575", "It should be just userSiteList as this is not an incident page so please change it.")</f>
        <v/>
      </c>
      <c r="L920" t="inlineStr">
        <is>
          <t>2025-08-02 20:57:44.313 IST</t>
        </is>
      </c>
      <c r="M920" t="inlineStr">
        <is>
          <t>Soundariya B</t>
        </is>
      </c>
      <c r="N920" t="inlineStr">
        <is>
          <t>Yes</t>
        </is>
      </c>
      <c r="O920" t="inlineStr">
        <is>
          <t>Yes</t>
        </is>
      </c>
      <c r="P920" t="inlineStr">
        <is>
          <t>Soundariya B</t>
        </is>
      </c>
      <c r="Q920" t="inlineStr">
        <is>
          <t>Bad</t>
        </is>
      </c>
    </row>
    <row r="921">
      <c r="A921" t="inlineStr">
        <is>
          <t>kulsrestha.j</t>
        </is>
      </c>
      <c r="B921" t="inlineStr">
        <is>
          <t>Kulsrestha Joshi</t>
        </is>
      </c>
      <c r="C921" t="inlineStr">
        <is>
          <t>kulsrestha.j@osmosys.co</t>
        </is>
      </c>
      <c r="D921" t="inlineStr">
        <is>
          <t>incident-reporter</t>
        </is>
      </c>
      <c r="E921">
        <f>HYPERLINK("http://gitlab.osmosys.co/incident-reporter/incident-reporter-angular-portal", "OQSHA Portal")</f>
        <v/>
      </c>
      <c r="F921">
        <f>HYPERLINK("http://gitlab.osmosys.co/incident-reporter/incident-reporter-angular-portal/-/merge_requests/3694", "feat: add employee kpi list page")</f>
        <v/>
      </c>
      <c r="G921" t="inlineStr">
        <is>
          <t>feat/employee-kpi-list</t>
        </is>
      </c>
      <c r="H921" t="inlineStr">
        <is>
          <t>sprint-19</t>
        </is>
      </c>
      <c r="I921" t="inlineStr">
        <is>
          <t>merged</t>
        </is>
      </c>
      <c r="J921" t="inlineStr">
        <is>
          <t>ddb34a8de588c14f962ff6d8fed67aa50e7c3d6a</t>
        </is>
      </c>
      <c r="K921">
        <f>HYPERLINK("http://gitlab.osmosys.co/incident-reporter/incident-reporter-angular-portal/-/merge_requests/3694#note_246633", "updated")</f>
        <v/>
      </c>
      <c r="L921" t="inlineStr">
        <is>
          <t>2025-08-02 23:57:16.975 IST</t>
        </is>
      </c>
      <c r="M921" t="inlineStr">
        <is>
          <t>Kulsrestha Joshi</t>
        </is>
      </c>
      <c r="N921" t="inlineStr">
        <is>
          <t>No</t>
        </is>
      </c>
      <c r="O921" t="inlineStr">
        <is>
          <t>Yes</t>
        </is>
      </c>
      <c r="P921" t="inlineStr">
        <is>
          <t>Soundariya B</t>
        </is>
      </c>
      <c r="Q921" t="inlineStr">
        <is>
          <t>Bad</t>
        </is>
      </c>
    </row>
    <row r="922">
      <c r="A922" t="inlineStr">
        <is>
          <t>kulsrestha.j</t>
        </is>
      </c>
      <c r="B922" t="inlineStr">
        <is>
          <t>Kulsrestha Joshi</t>
        </is>
      </c>
      <c r="C922" t="inlineStr">
        <is>
          <t>kulsrestha.j@osmosys.co</t>
        </is>
      </c>
      <c r="D922" t="inlineStr">
        <is>
          <t>incident-reporter</t>
        </is>
      </c>
      <c r="E922">
        <f>HYPERLINK("http://gitlab.osmosys.co/incident-reporter/incident-reporter-angular-portal", "OQSHA Portal")</f>
        <v/>
      </c>
      <c r="F922">
        <f>HYPERLINK("http://gitlab.osmosys.co/incident-reporter/incident-reporter-angular-portal/-/merge_requests/3694", "feat: add employee kpi list page")</f>
        <v/>
      </c>
      <c r="G922" t="inlineStr">
        <is>
          <t>feat/employee-kpi-list</t>
        </is>
      </c>
      <c r="H922" t="inlineStr">
        <is>
          <t>sprint-19</t>
        </is>
      </c>
      <c r="I922" t="inlineStr">
        <is>
          <t>merged</t>
        </is>
      </c>
      <c r="J922" t="inlineStr">
        <is>
          <t>62d8a9e3ee073e41e458295537d454c20021ccbf</t>
        </is>
      </c>
      <c r="K922">
        <f>HYPERLINK("http://gitlab.osmosys.co/incident-reporter/incident-reporter-angular-portal/-/merge_requests/3694#note_246576", "Maintain the placement of this key after the unSelectAllText")</f>
        <v/>
      </c>
      <c r="L922" t="inlineStr">
        <is>
          <t>2025-08-02 20:57:44.366 IST</t>
        </is>
      </c>
      <c r="M922" t="inlineStr">
        <is>
          <t>Soundariya B</t>
        </is>
      </c>
      <c r="N922" t="inlineStr">
        <is>
          <t>Yes</t>
        </is>
      </c>
      <c r="O922" t="inlineStr">
        <is>
          <t>Yes</t>
        </is>
      </c>
      <c r="P922" t="inlineStr">
        <is>
          <t>Soundariya B</t>
        </is>
      </c>
      <c r="Q922" t="inlineStr">
        <is>
          <t>Bad</t>
        </is>
      </c>
    </row>
    <row r="923">
      <c r="A923" t="inlineStr">
        <is>
          <t>kulsrestha.j</t>
        </is>
      </c>
      <c r="B923" t="inlineStr">
        <is>
          <t>Kulsrestha Joshi</t>
        </is>
      </c>
      <c r="C923" t="inlineStr">
        <is>
          <t>kulsrestha.j@osmosys.co</t>
        </is>
      </c>
      <c r="D923" t="inlineStr">
        <is>
          <t>incident-reporter</t>
        </is>
      </c>
      <c r="E923">
        <f>HYPERLINK("http://gitlab.osmosys.co/incident-reporter/incident-reporter-angular-portal", "OQSHA Portal")</f>
        <v/>
      </c>
      <c r="F923">
        <f>HYPERLINK("http://gitlab.osmosys.co/incident-reporter/incident-reporter-angular-portal/-/merge_requests/3694", "feat: add employee kpi list page")</f>
        <v/>
      </c>
      <c r="G923" t="inlineStr">
        <is>
          <t>feat/employee-kpi-list</t>
        </is>
      </c>
      <c r="H923" t="inlineStr">
        <is>
          <t>sprint-19</t>
        </is>
      </c>
      <c r="I923" t="inlineStr">
        <is>
          <t>merged</t>
        </is>
      </c>
      <c r="J923" t="inlineStr">
        <is>
          <t>62d8a9e3ee073e41e458295537d454c20021ccbf</t>
        </is>
      </c>
      <c r="K923">
        <f>HYPERLINK("http://gitlab.osmosys.co/incident-reporter/incident-reporter-angular-portal/-/merge_requests/3694#note_246626", "Don't know why you are asking to do this , if you are adding such type of comments kindly specify why , how does it matter . Although i have done what you said .")</f>
        <v/>
      </c>
      <c r="L923" t="inlineStr">
        <is>
          <t>2025-08-02 23:47:59.840 IST</t>
        </is>
      </c>
      <c r="M923" t="inlineStr">
        <is>
          <t>Kulsrestha Joshi</t>
        </is>
      </c>
      <c r="N923" t="inlineStr">
        <is>
          <t>No</t>
        </is>
      </c>
      <c r="O923" t="inlineStr">
        <is>
          <t>Yes</t>
        </is>
      </c>
      <c r="P923" t="inlineStr">
        <is>
          <t>Soundariya B</t>
        </is>
      </c>
      <c r="Q923" t="inlineStr">
        <is>
          <t>Bad</t>
        </is>
      </c>
    </row>
    <row r="924">
      <c r="A924" t="inlineStr">
        <is>
          <t>kulsrestha.j</t>
        </is>
      </c>
      <c r="B924" t="inlineStr">
        <is>
          <t>Kulsrestha Joshi</t>
        </is>
      </c>
      <c r="C924" t="inlineStr">
        <is>
          <t>kulsrestha.j@osmosys.co</t>
        </is>
      </c>
      <c r="D924" t="inlineStr">
        <is>
          <t>incident-reporter</t>
        </is>
      </c>
      <c r="E924">
        <f>HYPERLINK("http://gitlab.osmosys.co/incident-reporter/incident-reporter-angular-portal", "OQSHA Portal")</f>
        <v/>
      </c>
      <c r="F924">
        <f>HYPERLINK("http://gitlab.osmosys.co/incident-reporter/incident-reporter-angular-portal/-/merge_requests/3694", "feat: add employee kpi list page")</f>
        <v/>
      </c>
      <c r="G924" t="inlineStr">
        <is>
          <t>feat/employee-kpi-list</t>
        </is>
      </c>
      <c r="H924" t="inlineStr">
        <is>
          <t>sprint-19</t>
        </is>
      </c>
      <c r="I924" t="inlineStr">
        <is>
          <t>merged</t>
        </is>
      </c>
      <c r="J924" t="inlineStr">
        <is>
          <t>b2ed675823424d69803e48715e1efd682bc457a6</t>
        </is>
      </c>
      <c r="K924">
        <f>HYPERLINK("http://gitlab.osmosys.co/incident-reporter/incident-reporter-angular-portal/-/merge_requests/3694#note_246577", "These lines of code I didn't get it why here assigning the filter value")</f>
        <v/>
      </c>
      <c r="L924" t="inlineStr">
        <is>
          <t>2025-08-02 20:57:44.420 IST</t>
        </is>
      </c>
      <c r="M924" t="inlineStr">
        <is>
          <t>Soundariya B</t>
        </is>
      </c>
      <c r="N924" t="inlineStr">
        <is>
          <t>Yes</t>
        </is>
      </c>
      <c r="O924" t="inlineStr">
        <is>
          <t>Yes</t>
        </is>
      </c>
      <c r="P924" t="inlineStr">
        <is>
          <t>Soundariya B</t>
        </is>
      </c>
      <c r="Q924" t="inlineStr">
        <is>
          <t>Bad</t>
        </is>
      </c>
    </row>
    <row r="925">
      <c r="A925" t="inlineStr">
        <is>
          <t>kulsrestha.j</t>
        </is>
      </c>
      <c r="B925" t="inlineStr">
        <is>
          <t>Kulsrestha Joshi</t>
        </is>
      </c>
      <c r="C925" t="inlineStr">
        <is>
          <t>kulsrestha.j@osmosys.co</t>
        </is>
      </c>
      <c r="D925" t="inlineStr">
        <is>
          <t>incident-reporter</t>
        </is>
      </c>
      <c r="E925">
        <f>HYPERLINK("http://gitlab.osmosys.co/incident-reporter/incident-reporter-angular-portal", "OQSHA Portal")</f>
        <v/>
      </c>
      <c r="F925">
        <f>HYPERLINK("http://gitlab.osmosys.co/incident-reporter/incident-reporter-angular-portal/-/merge_requests/3694", "feat: add employee kpi list page")</f>
        <v/>
      </c>
      <c r="G925" t="inlineStr">
        <is>
          <t>feat/employee-kpi-list</t>
        </is>
      </c>
      <c r="H925" t="inlineStr">
        <is>
          <t>sprint-19</t>
        </is>
      </c>
      <c r="I925" t="inlineStr">
        <is>
          <t>merged</t>
        </is>
      </c>
      <c r="J925" t="inlineStr">
        <is>
          <t>b2ed675823424d69803e48715e1efd682bc457a6</t>
        </is>
      </c>
      <c r="K925">
        <f>HYPERLINK("http://gitlab.osmosys.co/incident-reporter/incident-reporter-angular-portal/-/merge_requests/3694#note_246634", "Not needed , removed the site and date conditions")</f>
        <v/>
      </c>
      <c r="L925" t="inlineStr">
        <is>
          <t>2025-08-03 00:02:41.102 IST</t>
        </is>
      </c>
      <c r="M925" t="inlineStr">
        <is>
          <t>Kulsrestha Joshi</t>
        </is>
      </c>
      <c r="N925" t="inlineStr">
        <is>
          <t>No</t>
        </is>
      </c>
      <c r="O925" t="inlineStr">
        <is>
          <t>Yes</t>
        </is>
      </c>
      <c r="P925" t="inlineStr">
        <is>
          <t>Soundariya B</t>
        </is>
      </c>
      <c r="Q925" t="inlineStr">
        <is>
          <t>Bad</t>
        </is>
      </c>
    </row>
    <row r="926">
      <c r="A926" t="inlineStr">
        <is>
          <t>kulsrestha.j</t>
        </is>
      </c>
      <c r="B926" t="inlineStr">
        <is>
          <t>Kulsrestha Joshi</t>
        </is>
      </c>
      <c r="C926" t="inlineStr">
        <is>
          <t>kulsrestha.j@osmosys.co</t>
        </is>
      </c>
      <c r="D926" t="inlineStr">
        <is>
          <t>incident-reporter</t>
        </is>
      </c>
      <c r="E926">
        <f>HYPERLINK("http://gitlab.osmosys.co/incident-reporter/incident-reporter-angular-portal", "OQSHA Portal")</f>
        <v/>
      </c>
      <c r="F926">
        <f>HYPERLINK("http://gitlab.osmosys.co/incident-reporter/incident-reporter-angular-portal/-/merge_requests/3694", "feat: add employee kpi list page")</f>
        <v/>
      </c>
      <c r="G926" t="inlineStr">
        <is>
          <t>feat/employee-kpi-list</t>
        </is>
      </c>
      <c r="H926" t="inlineStr">
        <is>
          <t>sprint-19</t>
        </is>
      </c>
      <c r="I926" t="inlineStr">
        <is>
          <t>merged</t>
        </is>
      </c>
      <c r="J926" t="inlineStr">
        <is>
          <t>d60e4b8cbfe7a6f7874559eae04d5d7f6ab562fe</t>
        </is>
      </c>
      <c r="K926">
        <f>HYPERLINK("http://gitlab.osmosys.co/incident-reporter/incident-reporter-angular-portal/-/merge_requests/3694#note_246578", "Use parseInt with radix for conversion")</f>
        <v/>
      </c>
      <c r="L926" t="inlineStr">
        <is>
          <t>2025-08-02 20:57:44.476 IST</t>
        </is>
      </c>
      <c r="M926" t="inlineStr">
        <is>
          <t>Soundariya B</t>
        </is>
      </c>
      <c r="N926" t="inlineStr">
        <is>
          <t>Yes</t>
        </is>
      </c>
      <c r="O926" t="inlineStr">
        <is>
          <t>Yes</t>
        </is>
      </c>
      <c r="P926" t="inlineStr">
        <is>
          <t>Soundariya B</t>
        </is>
      </c>
      <c r="Q926" t="inlineStr">
        <is>
          <t>Bad</t>
        </is>
      </c>
    </row>
    <row r="927">
      <c r="A927" t="inlineStr">
        <is>
          <t>kulsrestha.j</t>
        </is>
      </c>
      <c r="B927" t="inlineStr">
        <is>
          <t>Kulsrestha Joshi</t>
        </is>
      </c>
      <c r="C927" t="inlineStr">
        <is>
          <t>kulsrestha.j@osmosys.co</t>
        </is>
      </c>
      <c r="D927" t="inlineStr">
        <is>
          <t>incident-reporter</t>
        </is>
      </c>
      <c r="E927">
        <f>HYPERLINK("http://gitlab.osmosys.co/incident-reporter/incident-reporter-angular-portal", "OQSHA Portal")</f>
        <v/>
      </c>
      <c r="F927">
        <f>HYPERLINK("http://gitlab.osmosys.co/incident-reporter/incident-reporter-angular-portal/-/merge_requests/3694", "feat: add employee kpi list page")</f>
        <v/>
      </c>
      <c r="G927" t="inlineStr">
        <is>
          <t>feat/employee-kpi-list</t>
        </is>
      </c>
      <c r="H927" t="inlineStr">
        <is>
          <t>sprint-19</t>
        </is>
      </c>
      <c r="I927" t="inlineStr">
        <is>
          <t>merged</t>
        </is>
      </c>
      <c r="J927" t="inlineStr">
        <is>
          <t>d60e4b8cbfe7a6f7874559eae04d5d7f6ab562fe</t>
        </is>
      </c>
      <c r="K927">
        <f>HYPERLINK("http://gitlab.osmosys.co/incident-reporter/incident-reporter-angular-portal/-/merge_requests/3694#note_246627", "Already declared it as a number above , so removed here")</f>
        <v/>
      </c>
      <c r="L927" t="inlineStr">
        <is>
          <t>2025-08-02 23:50:50.473 IST</t>
        </is>
      </c>
      <c r="M927" t="inlineStr">
        <is>
          <t>Kulsrestha Joshi</t>
        </is>
      </c>
      <c r="N927" t="inlineStr">
        <is>
          <t>No</t>
        </is>
      </c>
      <c r="O927" t="inlineStr">
        <is>
          <t>Yes</t>
        </is>
      </c>
      <c r="P927" t="inlineStr">
        <is>
          <t>Soundariya B</t>
        </is>
      </c>
      <c r="Q927" t="inlineStr">
        <is>
          <t>Bad</t>
        </is>
      </c>
    </row>
    <row r="928">
      <c r="A928" t="inlineStr">
        <is>
          <t>kulsrestha.j</t>
        </is>
      </c>
      <c r="B928" t="inlineStr">
        <is>
          <t>Kulsrestha Joshi</t>
        </is>
      </c>
      <c r="C928" t="inlineStr">
        <is>
          <t>kulsrestha.j@osmosys.co</t>
        </is>
      </c>
      <c r="D928" t="inlineStr">
        <is>
          <t>incident-reporter</t>
        </is>
      </c>
      <c r="E928">
        <f>HYPERLINK("http://gitlab.osmosys.co/incident-reporter/incident-reporter-angular-portal", "OQSHA Portal")</f>
        <v/>
      </c>
      <c r="F928">
        <f>HYPERLINK("http://gitlab.osmosys.co/incident-reporter/incident-reporter-angular-portal/-/merge_requests/3694", "feat: add employee kpi list page")</f>
        <v/>
      </c>
      <c r="G928" t="inlineStr">
        <is>
          <t>feat/employee-kpi-list</t>
        </is>
      </c>
      <c r="H928" t="inlineStr">
        <is>
          <t>sprint-19</t>
        </is>
      </c>
      <c r="I928" t="inlineStr">
        <is>
          <t>merged</t>
        </is>
      </c>
      <c r="J928" t="inlineStr">
        <is>
          <t>4e0ac67cb8cde32849339028c370b831b2b6d729</t>
        </is>
      </c>
      <c r="K928">
        <f>HYPERLINK("http://gitlab.osmosys.co/incident-reporter/incident-reporter-angular-portal/-/merge_requests/3694#note_246668", "It should be btn-edit")</f>
        <v/>
      </c>
      <c r="L928" t="inlineStr">
        <is>
          <t>2025-08-03 01:13:33.601 IST</t>
        </is>
      </c>
      <c r="M928" t="inlineStr">
        <is>
          <t>Soundariya B</t>
        </is>
      </c>
      <c r="N928" t="inlineStr">
        <is>
          <t>Yes</t>
        </is>
      </c>
      <c r="O928" t="inlineStr">
        <is>
          <t>Yes</t>
        </is>
      </c>
      <c r="P928" t="inlineStr">
        <is>
          <t>Soundariya B</t>
        </is>
      </c>
      <c r="Q928" t="inlineStr">
        <is>
          <t>Bad</t>
        </is>
      </c>
    </row>
    <row r="929">
      <c r="A929" t="inlineStr">
        <is>
          <t>kulsrestha.j</t>
        </is>
      </c>
      <c r="B929" t="inlineStr">
        <is>
          <t>Kulsrestha Joshi</t>
        </is>
      </c>
      <c r="C929" t="inlineStr">
        <is>
          <t>kulsrestha.j@osmosys.co</t>
        </is>
      </c>
      <c r="D929" t="inlineStr">
        <is>
          <t>incident-reporter</t>
        </is>
      </c>
      <c r="E929">
        <f>HYPERLINK("http://gitlab.osmosys.co/incident-reporter/incident-reporter-angular-portal", "OQSHA Portal")</f>
        <v/>
      </c>
      <c r="F929">
        <f>HYPERLINK("http://gitlab.osmosys.co/incident-reporter/incident-reporter-angular-portal/-/merge_requests/3694", "feat: add employee kpi list page")</f>
        <v/>
      </c>
      <c r="G929" t="inlineStr">
        <is>
          <t>feat/employee-kpi-list</t>
        </is>
      </c>
      <c r="H929" t="inlineStr">
        <is>
          <t>sprint-19</t>
        </is>
      </c>
      <c r="I929" t="inlineStr">
        <is>
          <t>merged</t>
        </is>
      </c>
      <c r="J929" t="inlineStr">
        <is>
          <t>4e0ac67cb8cde32849339028c370b831b2b6d729</t>
        </is>
      </c>
      <c r="K929">
        <f>HYPERLINK("http://gitlab.osmosys.co/incident-reporter/incident-reporter-angular-portal/-/merge_requests/3694#note_246681", "updated")</f>
        <v/>
      </c>
      <c r="L929" t="inlineStr">
        <is>
          <t>2025-08-03 03:42:59.758 IST</t>
        </is>
      </c>
      <c r="M929" t="inlineStr">
        <is>
          <t>Kulsrestha Joshi</t>
        </is>
      </c>
      <c r="N929" t="inlineStr">
        <is>
          <t>No</t>
        </is>
      </c>
      <c r="O929" t="inlineStr">
        <is>
          <t>Yes</t>
        </is>
      </c>
      <c r="P929" t="inlineStr">
        <is>
          <t>Soundariya B</t>
        </is>
      </c>
      <c r="Q929" t="inlineStr">
        <is>
          <t>Bad</t>
        </is>
      </c>
    </row>
    <row r="930">
      <c r="A930" t="inlineStr">
        <is>
          <t>kulsrestha.j</t>
        </is>
      </c>
      <c r="B930" t="inlineStr">
        <is>
          <t>Kulsrestha Joshi</t>
        </is>
      </c>
      <c r="C930" t="inlineStr">
        <is>
          <t>kulsrestha.j@osmosys.co</t>
        </is>
      </c>
      <c r="D930" t="inlineStr">
        <is>
          <t>incident-reporter</t>
        </is>
      </c>
      <c r="E930">
        <f>HYPERLINK("http://gitlab.osmosys.co/incident-reporter/incident-reporter-angular-portal", "OQSHA Portal")</f>
        <v/>
      </c>
      <c r="F930">
        <f>HYPERLINK("http://gitlab.osmosys.co/incident-reporter/incident-reporter-angular-portal/-/merge_requests/3694", "feat: add employee kpi list page")</f>
        <v/>
      </c>
      <c r="G930" t="inlineStr">
        <is>
          <t>feat/employee-kpi-list</t>
        </is>
      </c>
      <c r="H930" t="inlineStr">
        <is>
          <t>sprint-19</t>
        </is>
      </c>
      <c r="I930" t="inlineStr">
        <is>
          <t>merged</t>
        </is>
      </c>
      <c r="J930" t="inlineStr">
        <is>
          <t>de797f0dd02f10574ff7d3984bf365ea0a526ace</t>
        </is>
      </c>
      <c r="K930">
        <f>HYPERLINK("http://gitlab.osmosys.co/incident-reporter/incident-reporter-angular-portal/-/merge_requests/3694#note_246669", "Same kind of codes are using here so can you please fix it and reuse it dynamically")</f>
        <v/>
      </c>
      <c r="L930" t="inlineStr">
        <is>
          <t>2025-08-03 01:13:33.685 IST</t>
        </is>
      </c>
      <c r="M930" t="inlineStr">
        <is>
          <t>Soundariya B</t>
        </is>
      </c>
      <c r="N930" t="inlineStr">
        <is>
          <t>Yes</t>
        </is>
      </c>
      <c r="O930" t="inlineStr">
        <is>
          <t>Yes</t>
        </is>
      </c>
      <c r="P930" t="inlineStr">
        <is>
          <t>Soundariya B</t>
        </is>
      </c>
      <c r="Q930" t="inlineStr">
        <is>
          <t>Bad</t>
        </is>
      </c>
    </row>
    <row r="931">
      <c r="A931" t="inlineStr">
        <is>
          <t>kulsrestha.j</t>
        </is>
      </c>
      <c r="B931" t="inlineStr">
        <is>
          <t>Kulsrestha Joshi</t>
        </is>
      </c>
      <c r="C931" t="inlineStr">
        <is>
          <t>kulsrestha.j@osmosys.co</t>
        </is>
      </c>
      <c r="D931" t="inlineStr">
        <is>
          <t>incident-reporter</t>
        </is>
      </c>
      <c r="E931">
        <f>HYPERLINK("http://gitlab.osmosys.co/incident-reporter/incident-reporter-angular-portal", "OQSHA Portal")</f>
        <v/>
      </c>
      <c r="F931">
        <f>HYPERLINK("http://gitlab.osmosys.co/incident-reporter/incident-reporter-angular-portal/-/merge_requests/3694", "feat: add employee kpi list page")</f>
        <v/>
      </c>
      <c r="G931" t="inlineStr">
        <is>
          <t>feat/employee-kpi-list</t>
        </is>
      </c>
      <c r="H931" t="inlineStr">
        <is>
          <t>sprint-19</t>
        </is>
      </c>
      <c r="I931" t="inlineStr">
        <is>
          <t>merged</t>
        </is>
      </c>
      <c r="J931" t="inlineStr">
        <is>
          <t>de797f0dd02f10574ff7d3984bf365ea0a526ace</t>
        </is>
      </c>
      <c r="K931">
        <f>HYPERLINK("http://gitlab.osmosys.co/incident-reporter/incident-reporter-angular-portal/-/merge_requests/3694#note_246684", "updated")</f>
        <v/>
      </c>
      <c r="L931" t="inlineStr">
        <is>
          <t>2025-08-03 03:55:17.348 IST</t>
        </is>
      </c>
      <c r="M931" t="inlineStr">
        <is>
          <t>Kulsrestha Joshi</t>
        </is>
      </c>
      <c r="N931" t="inlineStr">
        <is>
          <t>No</t>
        </is>
      </c>
      <c r="O931" t="inlineStr">
        <is>
          <t>Yes</t>
        </is>
      </c>
      <c r="P931" t="inlineStr">
        <is>
          <t>Soundariya B</t>
        </is>
      </c>
      <c r="Q931" t="inlineStr">
        <is>
          <t>Bad</t>
        </is>
      </c>
    </row>
    <row r="932">
      <c r="A932" t="inlineStr">
        <is>
          <t>kulsrestha.j</t>
        </is>
      </c>
      <c r="B932" t="inlineStr">
        <is>
          <t>Kulsrestha Joshi</t>
        </is>
      </c>
      <c r="C932" t="inlineStr">
        <is>
          <t>kulsrestha.j@osmosys.co</t>
        </is>
      </c>
      <c r="D932" t="inlineStr">
        <is>
          <t>incident-reporter</t>
        </is>
      </c>
      <c r="E932">
        <f>HYPERLINK("http://gitlab.osmosys.co/incident-reporter/incident-reporter-angular-portal", "OQSHA Portal")</f>
        <v/>
      </c>
      <c r="F932">
        <f>HYPERLINK("http://gitlab.osmosys.co/incident-reporter/incident-reporter-angular-portal/-/merge_requests/3694", "feat: add employee kpi list page")</f>
        <v/>
      </c>
      <c r="G932" t="inlineStr">
        <is>
          <t>feat/employee-kpi-list</t>
        </is>
      </c>
      <c r="H932" t="inlineStr">
        <is>
          <t>sprint-19</t>
        </is>
      </c>
      <c r="I932" t="inlineStr">
        <is>
          <t>merged</t>
        </is>
      </c>
      <c r="J932" t="inlineStr">
        <is>
          <t>d2e18aefd3842c7518f1e61efcabc4888401e4f9</t>
        </is>
      </c>
      <c r="K932">
        <f>HYPERLINK("http://gitlab.osmosys.co/incident-reporter/incident-reporter-angular-portal/-/merge_requests/3694#note_246670", "Same here")</f>
        <v/>
      </c>
      <c r="L932" t="inlineStr">
        <is>
          <t>2025-08-03 01:13:33.749 IST</t>
        </is>
      </c>
      <c r="M932" t="inlineStr">
        <is>
          <t>Soundariya B</t>
        </is>
      </c>
      <c r="N932" t="inlineStr">
        <is>
          <t>Yes</t>
        </is>
      </c>
      <c r="O932" t="inlineStr">
        <is>
          <t>Yes</t>
        </is>
      </c>
      <c r="P932" t="inlineStr">
        <is>
          <t>Soundariya B</t>
        </is>
      </c>
      <c r="Q932" t="inlineStr">
        <is>
          <t>Bad</t>
        </is>
      </c>
    </row>
    <row r="933">
      <c r="A933" t="inlineStr">
        <is>
          <t>kulsrestha.j</t>
        </is>
      </c>
      <c r="B933" t="inlineStr">
        <is>
          <t>Kulsrestha Joshi</t>
        </is>
      </c>
      <c r="C933" t="inlineStr">
        <is>
          <t>kulsrestha.j@osmosys.co</t>
        </is>
      </c>
      <c r="D933" t="inlineStr">
        <is>
          <t>incident-reporter</t>
        </is>
      </c>
      <c r="E933">
        <f>HYPERLINK("http://gitlab.osmosys.co/incident-reporter/incident-reporter-angular-portal", "OQSHA Portal")</f>
        <v/>
      </c>
      <c r="F933">
        <f>HYPERLINK("http://gitlab.osmosys.co/incident-reporter/incident-reporter-angular-portal/-/merge_requests/3694", "feat: add employee kpi list page")</f>
        <v/>
      </c>
      <c r="G933" t="inlineStr">
        <is>
          <t>feat/employee-kpi-list</t>
        </is>
      </c>
      <c r="H933" t="inlineStr">
        <is>
          <t>sprint-19</t>
        </is>
      </c>
      <c r="I933" t="inlineStr">
        <is>
          <t>merged</t>
        </is>
      </c>
      <c r="J933" t="inlineStr">
        <is>
          <t>d2e18aefd3842c7518f1e61efcabc4888401e4f9</t>
        </is>
      </c>
      <c r="K933">
        <f>HYPERLINK("http://gitlab.osmosys.co/incident-reporter/incident-reporter-angular-portal/-/merge_requests/3694#note_246683", "Updated")</f>
        <v/>
      </c>
      <c r="L933" t="inlineStr">
        <is>
          <t>2025-08-03 03:55:12.250 IST</t>
        </is>
      </c>
      <c r="M933" t="inlineStr">
        <is>
          <t>Kulsrestha Joshi</t>
        </is>
      </c>
      <c r="N933" t="inlineStr">
        <is>
          <t>No</t>
        </is>
      </c>
      <c r="O933" t="inlineStr">
        <is>
          <t>Yes</t>
        </is>
      </c>
      <c r="P933" t="inlineStr">
        <is>
          <t>Soundariya B</t>
        </is>
      </c>
      <c r="Q933" t="inlineStr">
        <is>
          <t>Bad</t>
        </is>
      </c>
    </row>
    <row r="934">
      <c r="A934" t="inlineStr">
        <is>
          <t>kulsrestha.j</t>
        </is>
      </c>
      <c r="B934" t="inlineStr">
        <is>
          <t>Kulsrestha Joshi</t>
        </is>
      </c>
      <c r="C934" t="inlineStr">
        <is>
          <t>kulsrestha.j@osmosys.co</t>
        </is>
      </c>
      <c r="D934" t="inlineStr">
        <is>
          <t>incident-reporter</t>
        </is>
      </c>
      <c r="E934">
        <f>HYPERLINK("http://gitlab.osmosys.co/incident-reporter/incident-reporter-angular-portal", "OQSHA Portal")</f>
        <v/>
      </c>
      <c r="F934">
        <f>HYPERLINK("http://gitlab.osmosys.co/incident-reporter/incident-reporter-angular-portal/-/merge_requests/3694", "feat: add employee kpi list page")</f>
        <v/>
      </c>
      <c r="G934" t="inlineStr">
        <is>
          <t>feat/employee-kpi-list</t>
        </is>
      </c>
      <c r="H934" t="inlineStr">
        <is>
          <t>sprint-19</t>
        </is>
      </c>
      <c r="I934" t="inlineStr">
        <is>
          <t>merged</t>
        </is>
      </c>
      <c r="J934" t="inlineStr">
        <is>
          <t>dd217a6dc0862ce24ac24b1b1f6cb686591db5b7</t>
        </is>
      </c>
      <c r="K934">
        <f>HYPERLINK("http://gitlab.osmosys.co/incident-reporter/incident-reporter-angular-portal/-/merge_requests/3694#note_246671", "Get all storage key from localStorage object in constant file - Fix it everywhere")</f>
        <v/>
      </c>
      <c r="L934" t="inlineStr">
        <is>
          <t>2025-08-03 01:13:33.807 IST</t>
        </is>
      </c>
      <c r="M934" t="inlineStr">
        <is>
          <t>Soundariya B</t>
        </is>
      </c>
      <c r="N934" t="inlineStr">
        <is>
          <t>Yes</t>
        </is>
      </c>
      <c r="O934" t="inlineStr">
        <is>
          <t>Yes</t>
        </is>
      </c>
      <c r="P934" t="inlineStr">
        <is>
          <t>Soundariya B</t>
        </is>
      </c>
      <c r="Q934" t="inlineStr">
        <is>
          <t>Bad</t>
        </is>
      </c>
    </row>
    <row r="935">
      <c r="A935" t="inlineStr">
        <is>
          <t>kulsrestha.j</t>
        </is>
      </c>
      <c r="B935" t="inlineStr">
        <is>
          <t>Kulsrestha Joshi</t>
        </is>
      </c>
      <c r="C935" t="inlineStr">
        <is>
          <t>kulsrestha.j@osmosys.co</t>
        </is>
      </c>
      <c r="D935" t="inlineStr">
        <is>
          <t>incident-reporter</t>
        </is>
      </c>
      <c r="E935">
        <f>HYPERLINK("http://gitlab.osmosys.co/incident-reporter/incident-reporter-angular-portal", "OQSHA Portal")</f>
        <v/>
      </c>
      <c r="F935">
        <f>HYPERLINK("http://gitlab.osmosys.co/incident-reporter/incident-reporter-angular-portal/-/merge_requests/3694", "feat: add employee kpi list page")</f>
        <v/>
      </c>
      <c r="G935" t="inlineStr">
        <is>
          <t>feat/employee-kpi-list</t>
        </is>
      </c>
      <c r="H935" t="inlineStr">
        <is>
          <t>sprint-19</t>
        </is>
      </c>
      <c r="I935" t="inlineStr">
        <is>
          <t>merged</t>
        </is>
      </c>
      <c r="J935" t="inlineStr">
        <is>
          <t>dd217a6dc0862ce24ac24b1b1f6cb686591db5b7</t>
        </is>
      </c>
      <c r="K935">
        <f>HYPERLINK("http://gitlab.osmosys.co/incident-reporter/incident-reporter-angular-portal/-/merge_requests/3694#note_246682", "Already took from constants file , for now we don't have any local storage object , now going to add for now , can be done later .")</f>
        <v/>
      </c>
      <c r="L935" t="inlineStr">
        <is>
          <t>2025-08-03 03:55:01.437 IST</t>
        </is>
      </c>
      <c r="M935" t="inlineStr">
        <is>
          <t>Kulsrestha Joshi</t>
        </is>
      </c>
      <c r="N935" t="inlineStr">
        <is>
          <t>No</t>
        </is>
      </c>
      <c r="O935" t="inlineStr">
        <is>
          <t>Yes</t>
        </is>
      </c>
      <c r="P935" t="inlineStr">
        <is>
          <t>Soundariya B</t>
        </is>
      </c>
      <c r="Q935" t="inlineStr">
        <is>
          <t>Bad</t>
        </is>
      </c>
    </row>
    <row r="936">
      <c r="A936" t="inlineStr">
        <is>
          <t>kulsrestha.j</t>
        </is>
      </c>
      <c r="B936" t="inlineStr">
        <is>
          <t>Kulsrestha Joshi</t>
        </is>
      </c>
      <c r="C936" t="inlineStr">
        <is>
          <t>kulsrestha.j@osmosys.co</t>
        </is>
      </c>
      <c r="D936" t="inlineStr">
        <is>
          <t>incident-reporter</t>
        </is>
      </c>
      <c r="E936">
        <f>HYPERLINK("http://gitlab.osmosys.co/incident-reporter/incident-reporter-angular-portal", "OQSHA Portal")</f>
        <v/>
      </c>
      <c r="F936">
        <f>HYPERLINK("http://gitlab.osmosys.co/incident-reporter/incident-reporter-angular-portal/-/merge_requests/3694", "feat: add employee kpi list page")</f>
        <v/>
      </c>
      <c r="G936" t="inlineStr">
        <is>
          <t>feat/employee-kpi-list</t>
        </is>
      </c>
      <c r="H936" t="inlineStr">
        <is>
          <t>sprint-19</t>
        </is>
      </c>
      <c r="I936" t="inlineStr">
        <is>
          <t>merged</t>
        </is>
      </c>
      <c r="J936" t="inlineStr">
        <is>
          <t>e4172b95df8bde6cb1b19fb879899ab07f2d0397</t>
        </is>
      </c>
      <c r="K936">
        <f>HYPERLINK("http://gitlab.osmosys.co/incident-reporter/incident-reporter-angular-portal/-/merge_requests/3694#note_246672", "it should be btn-toggle-filter")</f>
        <v/>
      </c>
      <c r="L936" t="inlineStr">
        <is>
          <t>2025-08-03 01:13:33.864 IST</t>
        </is>
      </c>
      <c r="M936" t="inlineStr">
        <is>
          <t>Soundariya B</t>
        </is>
      </c>
      <c r="N936" t="inlineStr">
        <is>
          <t>Yes</t>
        </is>
      </c>
      <c r="O936" t="inlineStr">
        <is>
          <t>Yes</t>
        </is>
      </c>
      <c r="P936" t="inlineStr">
        <is>
          <t>Soundariya B</t>
        </is>
      </c>
      <c r="Q936" t="inlineStr">
        <is>
          <t>Bad</t>
        </is>
      </c>
    </row>
    <row r="937">
      <c r="A937" t="inlineStr">
        <is>
          <t>kulsrestha.j</t>
        </is>
      </c>
      <c r="B937" t="inlineStr">
        <is>
          <t>Kulsrestha Joshi</t>
        </is>
      </c>
      <c r="C937" t="inlineStr">
        <is>
          <t>kulsrestha.j@osmosys.co</t>
        </is>
      </c>
      <c r="D937" t="inlineStr">
        <is>
          <t>incident-reporter</t>
        </is>
      </c>
      <c r="E937">
        <f>HYPERLINK("http://gitlab.osmosys.co/incident-reporter/incident-reporter-angular-portal", "OQSHA Portal")</f>
        <v/>
      </c>
      <c r="F937">
        <f>HYPERLINK("http://gitlab.osmosys.co/incident-reporter/incident-reporter-angular-portal/-/merge_requests/3694", "feat: add employee kpi list page")</f>
        <v/>
      </c>
      <c r="G937" t="inlineStr">
        <is>
          <t>feat/employee-kpi-list</t>
        </is>
      </c>
      <c r="H937" t="inlineStr">
        <is>
          <t>sprint-19</t>
        </is>
      </c>
      <c r="I937" t="inlineStr">
        <is>
          <t>merged</t>
        </is>
      </c>
      <c r="J937" t="inlineStr">
        <is>
          <t>e4172b95df8bde6cb1b19fb879899ab07f2d0397</t>
        </is>
      </c>
      <c r="K937">
        <f>HYPERLINK("http://gitlab.osmosys.co/incident-reporter/incident-reporter-angular-portal/-/merge_requests/3694#note_246680", "UPDATED")</f>
        <v/>
      </c>
      <c r="L937" t="inlineStr">
        <is>
          <t>2025-08-03 03:42:02.373 IST</t>
        </is>
      </c>
      <c r="M937" t="inlineStr">
        <is>
          <t>Kulsrestha Joshi</t>
        </is>
      </c>
      <c r="N937" t="inlineStr">
        <is>
          <t>No</t>
        </is>
      </c>
      <c r="O937" t="inlineStr">
        <is>
          <t>Yes</t>
        </is>
      </c>
      <c r="P937" t="inlineStr">
        <is>
          <t>Soundariya B</t>
        </is>
      </c>
      <c r="Q937" t="inlineStr">
        <is>
          <t>Bad</t>
        </is>
      </c>
    </row>
    <row r="938">
      <c r="A938" t="inlineStr">
        <is>
          <t>kulsrestha.j</t>
        </is>
      </c>
      <c r="B938" t="inlineStr">
        <is>
          <t>Kulsrestha Joshi</t>
        </is>
      </c>
      <c r="C938" t="inlineStr">
        <is>
          <t>kulsrestha.j@osmosys.co</t>
        </is>
      </c>
      <c r="D938" t="inlineStr">
        <is>
          <t>incident-reporter</t>
        </is>
      </c>
      <c r="E938">
        <f>HYPERLINK("http://gitlab.osmosys.co/incident-reporter/incident-reporter-angular-portal", "OQSHA Portal")</f>
        <v/>
      </c>
      <c r="F938">
        <f>HYPERLINK("http://gitlab.osmosys.co/incident-reporter/incident-reporter-angular-portal/-/merge_requests/3694", "feat: add employee kpi list page")</f>
        <v/>
      </c>
      <c r="G938" t="inlineStr">
        <is>
          <t>feat/employee-kpi-list</t>
        </is>
      </c>
      <c r="H938" t="inlineStr">
        <is>
          <t>sprint-19</t>
        </is>
      </c>
      <c r="I938" t="inlineStr">
        <is>
          <t>merged</t>
        </is>
      </c>
      <c r="J938" t="inlineStr">
        <is>
          <t>53294cf594d21c19b40a492f97eb532330fffe8e</t>
        </is>
      </c>
      <c r="K938">
        <f>HYPERLINK("http://gitlab.osmosys.co/incident-reporter/incident-reporter-angular-portal/-/merge_requests/3694#note_246673", "it should be userDateTimeFormat")</f>
        <v/>
      </c>
      <c r="L938" t="inlineStr">
        <is>
          <t>2025-08-03 01:13:33.923 IST</t>
        </is>
      </c>
      <c r="M938" t="inlineStr">
        <is>
          <t>Soundariya B</t>
        </is>
      </c>
      <c r="N938" t="inlineStr">
        <is>
          <t>Yes</t>
        </is>
      </c>
      <c r="O938" t="inlineStr">
        <is>
          <t>Yes</t>
        </is>
      </c>
      <c r="P938" t="inlineStr">
        <is>
          <t>Soundariya B</t>
        </is>
      </c>
      <c r="Q938" t="inlineStr">
        <is>
          <t>Bad</t>
        </is>
      </c>
    </row>
    <row r="939">
      <c r="A939" t="inlineStr">
        <is>
          <t>kulsrestha.j</t>
        </is>
      </c>
      <c r="B939" t="inlineStr">
        <is>
          <t>Kulsrestha Joshi</t>
        </is>
      </c>
      <c r="C939" t="inlineStr">
        <is>
          <t>kulsrestha.j@osmosys.co</t>
        </is>
      </c>
      <c r="D939" t="inlineStr">
        <is>
          <t>incident-reporter</t>
        </is>
      </c>
      <c r="E939">
        <f>HYPERLINK("http://gitlab.osmosys.co/incident-reporter/incident-reporter-angular-portal", "OQSHA Portal")</f>
        <v/>
      </c>
      <c r="F939">
        <f>HYPERLINK("http://gitlab.osmosys.co/incident-reporter/incident-reporter-angular-portal/-/merge_requests/3694", "feat: add employee kpi list page")</f>
        <v/>
      </c>
      <c r="G939" t="inlineStr">
        <is>
          <t>feat/employee-kpi-list</t>
        </is>
      </c>
      <c r="H939" t="inlineStr">
        <is>
          <t>sprint-19</t>
        </is>
      </c>
      <c r="I939" t="inlineStr">
        <is>
          <t>merged</t>
        </is>
      </c>
      <c r="J939" t="inlineStr">
        <is>
          <t>53294cf594d21c19b40a492f97eb532330fffe8e</t>
        </is>
      </c>
      <c r="K939">
        <f>HYPERLINK("http://gitlab.osmosys.co/incident-reporter/incident-reporter-angular-portal/-/merge_requests/3694#note_246679", "updated")</f>
        <v/>
      </c>
      <c r="L939" t="inlineStr">
        <is>
          <t>2025-08-03 03:40:21.153 IST</t>
        </is>
      </c>
      <c r="M939" t="inlineStr">
        <is>
          <t>Kulsrestha Joshi</t>
        </is>
      </c>
      <c r="N939" t="inlineStr">
        <is>
          <t>No</t>
        </is>
      </c>
      <c r="O939" t="inlineStr">
        <is>
          <t>Yes</t>
        </is>
      </c>
      <c r="P939" t="inlineStr">
        <is>
          <t>Soundariya B</t>
        </is>
      </c>
      <c r="Q939" t="inlineStr">
        <is>
          <t>Bad</t>
        </is>
      </c>
    </row>
    <row r="940">
      <c r="A940" t="inlineStr">
        <is>
          <t>kulsrestha.j</t>
        </is>
      </c>
      <c r="B940" t="inlineStr">
        <is>
          <t>Kulsrestha Joshi</t>
        </is>
      </c>
      <c r="C940" t="inlineStr">
        <is>
          <t>kulsrestha.j@osmosys.co</t>
        </is>
      </c>
      <c r="D940" t="inlineStr">
        <is>
          <t>incident-reporter</t>
        </is>
      </c>
      <c r="E940">
        <f>HYPERLINK("http://gitlab.osmosys.co/incident-reporter/incident-reporter-angular-portal", "OQSHA Portal")</f>
        <v/>
      </c>
      <c r="F940">
        <f>HYPERLINK("http://gitlab.osmosys.co/incident-reporter/incident-reporter-angular-portal/-/merge_requests/3692", "feat: add KPI module setup")</f>
        <v/>
      </c>
      <c r="G940" t="inlineStr">
        <is>
          <t>feat/kpi-setup</t>
        </is>
      </c>
      <c r="H940" t="inlineStr">
        <is>
          <t>sprint-19</t>
        </is>
      </c>
      <c r="I940" t="inlineStr">
        <is>
          <t>merged</t>
        </is>
      </c>
      <c r="J940" t="inlineStr">
        <is>
          <t>9580ba7242174d0235cdc0ca1426c492f6d6c5d4</t>
        </is>
      </c>
      <c r="K940">
        <f>HYPERLINK("http://gitlab.osmosys.co/incident-reporter/incident-reporter-angular-portal/-/merge_requests/3692#note_246529", "![image](/uploads/6d327f77ca4f8bf2f1c0f6f5d749e6c0/image.png)
- The second breakdown line text should be aligned with upper text
- Use suitable icon like for employee can use 'users icon' and for plant can use 'leaf' icon")</f>
        <v/>
      </c>
      <c r="L940" t="inlineStr">
        <is>
          <t>2025-08-02 19:57:05.599 IST</t>
        </is>
      </c>
      <c r="M940" t="inlineStr">
        <is>
          <t>Soundariya B</t>
        </is>
      </c>
      <c r="N940" t="inlineStr">
        <is>
          <t>Yes</t>
        </is>
      </c>
      <c r="O940" t="inlineStr">
        <is>
          <t>Yes</t>
        </is>
      </c>
      <c r="P940" t="inlineStr">
        <is>
          <t>Soundariya B</t>
        </is>
      </c>
      <c r="Q940" t="inlineStr">
        <is>
          <t>Bad</t>
        </is>
      </c>
    </row>
    <row r="941">
      <c r="A941" t="inlineStr">
        <is>
          <t>kulsrestha.j</t>
        </is>
      </c>
      <c r="B941" t="inlineStr">
        <is>
          <t>Kulsrestha Joshi</t>
        </is>
      </c>
      <c r="C941" t="inlineStr">
        <is>
          <t>kulsrestha.j@osmosys.co</t>
        </is>
      </c>
      <c r="D941" t="inlineStr">
        <is>
          <t>incident-reporter</t>
        </is>
      </c>
      <c r="E941">
        <f>HYPERLINK("http://gitlab.osmosys.co/incident-reporter/incident-reporter-angular-portal", "OQSHA Portal")</f>
        <v/>
      </c>
      <c r="F941">
        <f>HYPERLINK("http://gitlab.osmosys.co/incident-reporter/incident-reporter-angular-portal/-/merge_requests/3692", "feat: add KPI module setup")</f>
        <v/>
      </c>
      <c r="G941" t="inlineStr">
        <is>
          <t>feat/kpi-setup</t>
        </is>
      </c>
      <c r="H941" t="inlineStr">
        <is>
          <t>sprint-19</t>
        </is>
      </c>
      <c r="I941" t="inlineStr">
        <is>
          <t>merged</t>
        </is>
      </c>
      <c r="J941" t="inlineStr">
        <is>
          <t>9580ba7242174d0235cdc0ca1426c492f6d6c5d4</t>
        </is>
      </c>
      <c r="K941">
        <f>HYPERLINK("http://gitlab.osmosys.co/incident-reporter/incident-reporter-angular-portal/-/merge_requests/3692#note_246612", "-Fixed the alignment.
-Updated icon for definition , keeping same for report , not a major thing to point out , can be changed later as well .
- Used important where it was necessary , so don't add comment for that")</f>
        <v/>
      </c>
      <c r="L941" t="inlineStr">
        <is>
          <t>2025-08-02 23:19:38.764 IST</t>
        </is>
      </c>
      <c r="M941" t="inlineStr">
        <is>
          <t>Kulsrestha Joshi</t>
        </is>
      </c>
      <c r="N941" t="inlineStr">
        <is>
          <t>No</t>
        </is>
      </c>
      <c r="O941" t="inlineStr">
        <is>
          <t>Yes</t>
        </is>
      </c>
      <c r="P941" t="inlineStr">
        <is>
          <t>Soundariya B</t>
        </is>
      </c>
      <c r="Q941" t="inlineStr">
        <is>
          <t>Bad</t>
        </is>
      </c>
    </row>
    <row r="942">
      <c r="A942" t="inlineStr">
        <is>
          <t>kulsrestha.j</t>
        </is>
      </c>
      <c r="B942" t="inlineStr">
        <is>
          <t>Kulsrestha Joshi</t>
        </is>
      </c>
      <c r="C942" t="inlineStr">
        <is>
          <t>kulsrestha.j@osmosys.co</t>
        </is>
      </c>
      <c r="D942" t="inlineStr">
        <is>
          <t>incident-reporter</t>
        </is>
      </c>
      <c r="E942">
        <f>HYPERLINK("http://gitlab.osmosys.co/incident-reporter/incident-reporter-angular-portal", "OQSHA Portal")</f>
        <v/>
      </c>
      <c r="F942">
        <f>HYPERLINK("http://gitlab.osmosys.co/incident-reporter/incident-reporter-angular-portal/-/merge_requests/3692", "feat: add KPI module setup")</f>
        <v/>
      </c>
      <c r="G942" t="inlineStr">
        <is>
          <t>feat/kpi-setup</t>
        </is>
      </c>
      <c r="H942" t="inlineStr">
        <is>
          <t>sprint-19</t>
        </is>
      </c>
      <c r="I942" t="inlineStr">
        <is>
          <t>merged</t>
        </is>
      </c>
      <c r="J942" t="inlineStr">
        <is>
          <t>71290818a3d2b83b16b1a2868e48ad6028ed8fa5</t>
        </is>
      </c>
      <c r="K942">
        <f>HYPERLINK("http://gitlab.osmosys.co/incident-reporter/incident-reporter-angular-portal/-/merge_requests/3692#note_246530", "Delete permission is not there for now or not decided?")</f>
        <v/>
      </c>
      <c r="L942" t="inlineStr">
        <is>
          <t>2025-08-02 19:57:05.678 IST</t>
        </is>
      </c>
      <c r="M942" t="inlineStr">
        <is>
          <t>Soundariya B</t>
        </is>
      </c>
      <c r="N942" t="inlineStr">
        <is>
          <t>Yes</t>
        </is>
      </c>
      <c r="O942" t="inlineStr">
        <is>
          <t>Yes</t>
        </is>
      </c>
      <c r="P942" t="inlineStr">
        <is>
          <t>Soundariya B</t>
        </is>
      </c>
      <c r="Q942" t="inlineStr">
        <is>
          <t>Bad</t>
        </is>
      </c>
    </row>
    <row r="943">
      <c r="A943" t="inlineStr">
        <is>
          <t>kulsrestha.j</t>
        </is>
      </c>
      <c r="B943" t="inlineStr">
        <is>
          <t>Kulsrestha Joshi</t>
        </is>
      </c>
      <c r="C943" t="inlineStr">
        <is>
          <t>kulsrestha.j@osmosys.co</t>
        </is>
      </c>
      <c r="D943" t="inlineStr">
        <is>
          <t>incident-reporter</t>
        </is>
      </c>
      <c r="E943">
        <f>HYPERLINK("http://gitlab.osmosys.co/incident-reporter/incident-reporter-angular-portal", "OQSHA Portal")</f>
        <v/>
      </c>
      <c r="F943">
        <f>HYPERLINK("http://gitlab.osmosys.co/incident-reporter/incident-reporter-angular-portal/-/merge_requests/3692", "feat: add KPI module setup")</f>
        <v/>
      </c>
      <c r="G943" t="inlineStr">
        <is>
          <t>feat/kpi-setup</t>
        </is>
      </c>
      <c r="H943" t="inlineStr">
        <is>
          <t>sprint-19</t>
        </is>
      </c>
      <c r="I943" t="inlineStr">
        <is>
          <t>merged</t>
        </is>
      </c>
      <c r="J943" t="inlineStr">
        <is>
          <t>71290818a3d2b83b16b1a2868e48ad6028ed8fa5</t>
        </is>
      </c>
      <c r="K943">
        <f>HYPERLINK("http://gitlab.osmosys.co/incident-reporter/incident-reporter-angular-portal/-/merge_requests/3692#note_246596", "Removing permission for now , as they are not added yet , will add them once i get them , so removing all for now .")</f>
        <v/>
      </c>
      <c r="L943" t="inlineStr">
        <is>
          <t>2025-08-02 22:38:42.376 IST</t>
        </is>
      </c>
      <c r="M943" t="inlineStr">
        <is>
          <t>Kulsrestha Joshi</t>
        </is>
      </c>
      <c r="N943" t="inlineStr">
        <is>
          <t>No</t>
        </is>
      </c>
      <c r="O943" t="inlineStr">
        <is>
          <t>Yes</t>
        </is>
      </c>
      <c r="P943" t="inlineStr">
        <is>
          <t>Soundariya B</t>
        </is>
      </c>
      <c r="Q943" t="inlineStr">
        <is>
          <t>Bad</t>
        </is>
      </c>
    </row>
    <row r="944">
      <c r="A944" t="inlineStr">
        <is>
          <t>kulsrestha.j</t>
        </is>
      </c>
      <c r="B944" t="inlineStr">
        <is>
          <t>Kulsrestha Joshi</t>
        </is>
      </c>
      <c r="C944" t="inlineStr">
        <is>
          <t>kulsrestha.j@osmosys.co</t>
        </is>
      </c>
      <c r="D944" t="inlineStr">
        <is>
          <t>incident-reporter</t>
        </is>
      </c>
      <c r="E944">
        <f>HYPERLINK("http://gitlab.osmosys.co/incident-reporter/incident-reporter-angular-portal", "OQSHA Portal")</f>
        <v/>
      </c>
      <c r="F944">
        <f>HYPERLINK("http://gitlab.osmosys.co/incident-reporter/incident-reporter-angular-portal/-/merge_requests/3692", "feat: add KPI module setup")</f>
        <v/>
      </c>
      <c r="G944" t="inlineStr">
        <is>
          <t>feat/kpi-setup</t>
        </is>
      </c>
      <c r="H944" t="inlineStr">
        <is>
          <t>sprint-19</t>
        </is>
      </c>
      <c r="I944" t="inlineStr">
        <is>
          <t>merged</t>
        </is>
      </c>
      <c r="J944" t="inlineStr">
        <is>
          <t>273f00752b087c196a62c817cbbc501e0e3163af</t>
        </is>
      </c>
      <c r="K944">
        <f>HYPERLINK("http://gitlab.osmosys.co/incident-reporter/incident-reporter-angular-portal/-/merge_requests/3692#note_246531", "Same here")</f>
        <v/>
      </c>
      <c r="L944" t="inlineStr">
        <is>
          <t>2025-08-02 19:57:05.735 IST</t>
        </is>
      </c>
      <c r="M944" t="inlineStr">
        <is>
          <t>Soundariya B</t>
        </is>
      </c>
      <c r="N944" t="inlineStr">
        <is>
          <t>Yes</t>
        </is>
      </c>
      <c r="O944" t="inlineStr">
        <is>
          <t>Yes</t>
        </is>
      </c>
      <c r="P944" t="inlineStr">
        <is>
          <t>Soundariya B</t>
        </is>
      </c>
      <c r="Q944" t="inlineStr">
        <is>
          <t>Bad</t>
        </is>
      </c>
    </row>
    <row r="945">
      <c r="A945" t="inlineStr">
        <is>
          <t>kulsrestha.j</t>
        </is>
      </c>
      <c r="B945" t="inlineStr">
        <is>
          <t>Kulsrestha Joshi</t>
        </is>
      </c>
      <c r="C945" t="inlineStr">
        <is>
          <t>kulsrestha.j@osmosys.co</t>
        </is>
      </c>
      <c r="D945" t="inlineStr">
        <is>
          <t>incident-reporter</t>
        </is>
      </c>
      <c r="E945">
        <f>HYPERLINK("http://gitlab.osmosys.co/incident-reporter/incident-reporter-angular-portal", "OQSHA Portal")</f>
        <v/>
      </c>
      <c r="F945">
        <f>HYPERLINK("http://gitlab.osmosys.co/incident-reporter/incident-reporter-angular-portal/-/merge_requests/3692", "feat: add KPI module setup")</f>
        <v/>
      </c>
      <c r="G945" t="inlineStr">
        <is>
          <t>feat/kpi-setup</t>
        </is>
      </c>
      <c r="H945" t="inlineStr">
        <is>
          <t>sprint-19</t>
        </is>
      </c>
      <c r="I945" t="inlineStr">
        <is>
          <t>merged</t>
        </is>
      </c>
      <c r="J945" t="inlineStr">
        <is>
          <t>273f00752b087c196a62c817cbbc501e0e3163af</t>
        </is>
      </c>
      <c r="K945">
        <f>HYPERLINK("http://gitlab.osmosys.co/incident-reporter/incident-reporter-angular-portal/-/merge_requests/3692#note_246597", "Removing permission for now , as they are not added yet , will add them once i get them , so removing all for now .")</f>
        <v/>
      </c>
      <c r="L945" t="inlineStr">
        <is>
          <t>2025-08-02 22:38:54.154 IST</t>
        </is>
      </c>
      <c r="M945" t="inlineStr">
        <is>
          <t>Kulsrestha Joshi</t>
        </is>
      </c>
      <c r="N945" t="inlineStr">
        <is>
          <t>No</t>
        </is>
      </c>
      <c r="O945" t="inlineStr">
        <is>
          <t>Yes</t>
        </is>
      </c>
      <c r="P945" t="inlineStr">
        <is>
          <t>Soundariya B</t>
        </is>
      </c>
      <c r="Q945" t="inlineStr">
        <is>
          <t>Bad</t>
        </is>
      </c>
    </row>
    <row r="946">
      <c r="A946" t="inlineStr">
        <is>
          <t>kulsrestha.j</t>
        </is>
      </c>
      <c r="B946" t="inlineStr">
        <is>
          <t>Kulsrestha Joshi</t>
        </is>
      </c>
      <c r="C946" t="inlineStr">
        <is>
          <t>kulsrestha.j@osmosys.co</t>
        </is>
      </c>
      <c r="D946" t="inlineStr">
        <is>
          <t>incident-reporter</t>
        </is>
      </c>
      <c r="E946">
        <f>HYPERLINK("http://gitlab.osmosys.co/incident-reporter/incident-reporter-angular-portal", "OQSHA Portal")</f>
        <v/>
      </c>
      <c r="F946">
        <f>HYPERLINK("http://gitlab.osmosys.co/incident-reporter/incident-reporter-angular-portal/-/merge_requests/3692", "feat: add KPI module setup")</f>
        <v/>
      </c>
      <c r="G946" t="inlineStr">
        <is>
          <t>feat/kpi-setup</t>
        </is>
      </c>
      <c r="H946" t="inlineStr">
        <is>
          <t>sprint-19</t>
        </is>
      </c>
      <c r="I946" t="inlineStr">
        <is>
          <t>merged</t>
        </is>
      </c>
      <c r="J946" t="inlineStr">
        <is>
          <t>9f1dc0a08cb6d3cbf48bc6ed72601b53828ae9fa</t>
        </is>
      </c>
      <c r="K946">
        <f>HYPERLINK("http://gitlab.osmosys.co/incident-reporter/incident-reporter-angular-portal/-/merge_requests/3692#note_246532", "These two should be handle dynamically as like for other module right?")</f>
        <v/>
      </c>
      <c r="L946" t="inlineStr">
        <is>
          <t>2025-08-02 19:57:05.815 IST</t>
        </is>
      </c>
      <c r="M946" t="inlineStr">
        <is>
          <t>Soundariya B</t>
        </is>
      </c>
      <c r="N946" t="inlineStr">
        <is>
          <t>Yes</t>
        </is>
      </c>
      <c r="O946" t="inlineStr">
        <is>
          <t>Yes</t>
        </is>
      </c>
      <c r="P946" t="inlineStr">
        <is>
          <t>Soundariya B</t>
        </is>
      </c>
      <c r="Q946" t="inlineStr">
        <is>
          <t>Neutral</t>
        </is>
      </c>
    </row>
    <row r="947">
      <c r="A947" t="inlineStr">
        <is>
          <t>kulsrestha.j</t>
        </is>
      </c>
      <c r="B947" t="inlineStr">
        <is>
          <t>Kulsrestha Joshi</t>
        </is>
      </c>
      <c r="C947" t="inlineStr">
        <is>
          <t>kulsrestha.j@osmosys.co</t>
        </is>
      </c>
      <c r="D947" t="inlineStr">
        <is>
          <t>incident-reporter</t>
        </is>
      </c>
      <c r="E947">
        <f>HYPERLINK("http://gitlab.osmosys.co/incident-reporter/incident-reporter-angular-portal", "OQSHA Portal")</f>
        <v/>
      </c>
      <c r="F947">
        <f>HYPERLINK("http://gitlab.osmosys.co/incident-reporter/incident-reporter-angular-portal/-/merge_requests/3692", "feat: add KPI module setup")</f>
        <v/>
      </c>
      <c r="G947" t="inlineStr">
        <is>
          <t>feat/kpi-setup</t>
        </is>
      </c>
      <c r="H947" t="inlineStr">
        <is>
          <t>sprint-19</t>
        </is>
      </c>
      <c r="I947" t="inlineStr">
        <is>
          <t>merged</t>
        </is>
      </c>
      <c r="J947" t="inlineStr">
        <is>
          <t>9f1dc0a08cb6d3cbf48bc6ed72601b53828ae9fa</t>
        </is>
      </c>
      <c r="K947">
        <f>HYPERLINK("http://gitlab.osmosys.co/incident-reporter/incident-reporter-angular-portal/-/merge_requests/3692#note_246593", "No, this is correct , you can see the training or setup they follow the same")</f>
        <v/>
      </c>
      <c r="L947" t="inlineStr">
        <is>
          <t>2025-08-02 22:34:18.812 IST</t>
        </is>
      </c>
      <c r="M947" t="inlineStr">
        <is>
          <t>Kulsrestha Joshi</t>
        </is>
      </c>
      <c r="N947" t="inlineStr">
        <is>
          <t>No</t>
        </is>
      </c>
      <c r="O947" t="inlineStr">
        <is>
          <t>Yes</t>
        </is>
      </c>
      <c r="P947" t="inlineStr">
        <is>
          <t>Soundariya B</t>
        </is>
      </c>
      <c r="Q947" t="inlineStr">
        <is>
          <t>Neutral</t>
        </is>
      </c>
    </row>
    <row r="948">
      <c r="A948" t="inlineStr">
        <is>
          <t>kulsrestha.j</t>
        </is>
      </c>
      <c r="B948" t="inlineStr">
        <is>
          <t>Kulsrestha Joshi</t>
        </is>
      </c>
      <c r="C948" t="inlineStr">
        <is>
          <t>kulsrestha.j@osmosys.co</t>
        </is>
      </c>
      <c r="D948" t="inlineStr">
        <is>
          <t>incident-reporter</t>
        </is>
      </c>
      <c r="E948">
        <f>HYPERLINK("http://gitlab.osmosys.co/incident-reporter/incident-reporter-angular-portal", "OQSHA Portal")</f>
        <v/>
      </c>
      <c r="F948">
        <f>HYPERLINK("http://gitlab.osmosys.co/incident-reporter/incident-reporter-angular-portal/-/merge_requests/3692", "feat: add KPI module setup")</f>
        <v/>
      </c>
      <c r="G948" t="inlineStr">
        <is>
          <t>feat/kpi-setup</t>
        </is>
      </c>
      <c r="H948" t="inlineStr">
        <is>
          <t>sprint-19</t>
        </is>
      </c>
      <c r="I948" t="inlineStr">
        <is>
          <t>merged</t>
        </is>
      </c>
      <c r="J948" t="inlineStr">
        <is>
          <t>60d46569e7d88a377c8b14e0de4c0369218bd09c</t>
        </is>
      </c>
      <c r="K948">
        <f>HYPERLINK("http://gitlab.osmosys.co/incident-reporter/incident-reporter-angular-portal/-/merge_requests/3692#note_246533", "Why here using CAN_VIEW_DASHBOARD?")</f>
        <v/>
      </c>
      <c r="L948" t="inlineStr">
        <is>
          <t>2025-08-02 19:57:05.898 IST</t>
        </is>
      </c>
      <c r="M948" t="inlineStr">
        <is>
          <t>Soundariya B</t>
        </is>
      </c>
      <c r="N948" t="inlineStr">
        <is>
          <t>Yes</t>
        </is>
      </c>
      <c r="O948" t="inlineStr">
        <is>
          <t>Yes</t>
        </is>
      </c>
      <c r="P948" t="inlineStr">
        <is>
          <t>Soundariya B</t>
        </is>
      </c>
      <c r="Q948" t="inlineStr">
        <is>
          <t>Bad</t>
        </is>
      </c>
    </row>
    <row r="949">
      <c r="A949" t="inlineStr">
        <is>
          <t>kulsrestha.j</t>
        </is>
      </c>
      <c r="B949" t="inlineStr">
        <is>
          <t>Kulsrestha Joshi</t>
        </is>
      </c>
      <c r="C949" t="inlineStr">
        <is>
          <t>kulsrestha.j@osmosys.co</t>
        </is>
      </c>
      <c r="D949" t="inlineStr">
        <is>
          <t>incident-reporter</t>
        </is>
      </c>
      <c r="E949">
        <f>HYPERLINK("http://gitlab.osmosys.co/incident-reporter/incident-reporter-angular-portal", "OQSHA Portal")</f>
        <v/>
      </c>
      <c r="F949">
        <f>HYPERLINK("http://gitlab.osmosys.co/incident-reporter/incident-reporter-angular-portal/-/merge_requests/3692", "feat: add KPI module setup")</f>
        <v/>
      </c>
      <c r="G949" t="inlineStr">
        <is>
          <t>feat/kpi-setup</t>
        </is>
      </c>
      <c r="H949" t="inlineStr">
        <is>
          <t>sprint-19</t>
        </is>
      </c>
      <c r="I949" t="inlineStr">
        <is>
          <t>merged</t>
        </is>
      </c>
      <c r="J949" t="inlineStr">
        <is>
          <t>60d46569e7d88a377c8b14e0de4c0369218bd09c</t>
        </is>
      </c>
      <c r="K949">
        <f>HYPERLINK("http://gitlab.osmosys.co/incident-reporter/incident-reporter-angular-portal/-/merge_requests/3692#note_246592", "Removing it for now , when we will get the exact permission will add")</f>
        <v/>
      </c>
      <c r="L949" t="inlineStr">
        <is>
          <t>2025-08-02 22:32:11.520 IST</t>
        </is>
      </c>
      <c r="M949" t="inlineStr">
        <is>
          <t>Kulsrestha Joshi</t>
        </is>
      </c>
      <c r="N949" t="inlineStr">
        <is>
          <t>No</t>
        </is>
      </c>
      <c r="O949" t="inlineStr">
        <is>
          <t>Yes</t>
        </is>
      </c>
      <c r="P949" t="inlineStr">
        <is>
          <t>Soundariya B</t>
        </is>
      </c>
      <c r="Q949" t="inlineStr">
        <is>
          <t>Bad</t>
        </is>
      </c>
    </row>
    <row r="950">
      <c r="A950" t="inlineStr">
        <is>
          <t>kulsrestha.j</t>
        </is>
      </c>
      <c r="B950" t="inlineStr">
        <is>
          <t>Kulsrestha Joshi</t>
        </is>
      </c>
      <c r="C950" t="inlineStr">
        <is>
          <t>kulsrestha.j@osmosys.co</t>
        </is>
      </c>
      <c r="D950" t="inlineStr">
        <is>
          <t>incident-reporter</t>
        </is>
      </c>
      <c r="E950">
        <f>HYPERLINK("http://gitlab.osmosys.co/incident-reporter/incident-reporter-angular-portal", "OQSHA Portal")</f>
        <v/>
      </c>
      <c r="F950">
        <f>HYPERLINK("http://gitlab.osmosys.co/incident-reporter/incident-reporter-angular-portal/-/merge_requests/3676", "feat: add hira pdf")</f>
        <v/>
      </c>
      <c r="G950" t="inlineStr">
        <is>
          <t>feat/hira-pdf</t>
        </is>
      </c>
      <c r="H950" t="inlineStr">
        <is>
          <t>sprint-19</t>
        </is>
      </c>
      <c r="I950" t="inlineStr">
        <is>
          <t>merged</t>
        </is>
      </c>
      <c r="J950" t="inlineStr"/>
      <c r="K950" t="inlineStr"/>
      <c r="L950" t="inlineStr"/>
      <c r="M950" t="inlineStr"/>
      <c r="N950" t="inlineStr"/>
      <c r="O950" t="inlineStr"/>
      <c r="P950" t="inlineStr"/>
      <c r="Q950" t="inlineStr"/>
    </row>
    <row r="951">
      <c r="A951" t="inlineStr">
        <is>
          <t>kulsrestha.j</t>
        </is>
      </c>
      <c r="B951" t="inlineStr">
        <is>
          <t>Kulsrestha Joshi</t>
        </is>
      </c>
      <c r="C951" t="inlineStr">
        <is>
          <t>kulsrestha.j@osmosys.co</t>
        </is>
      </c>
      <c r="D951" t="inlineStr">
        <is>
          <t>incident-reporter</t>
        </is>
      </c>
      <c r="E951">
        <f>HYPERLINK("http://gitlab.osmosys.co/incident-reporter/incident-reporter-angular-portal", "OQSHA Portal")</f>
        <v/>
      </c>
      <c r="F951">
        <f>HYPERLINK("http://gitlab.osmosys.co/incident-reporter/incident-reporter-angular-portal/-/merge_requests/3637", "fix: update commented by property name")</f>
        <v/>
      </c>
      <c r="G951" t="inlineStr">
        <is>
          <t>fix/commented-by-name</t>
        </is>
      </c>
      <c r="H951" t="inlineStr">
        <is>
          <t>sprint-18</t>
        </is>
      </c>
      <c r="I951" t="inlineStr">
        <is>
          <t>merged</t>
        </is>
      </c>
      <c r="J951" t="inlineStr"/>
      <c r="K951" t="inlineStr"/>
      <c r="L951" t="inlineStr"/>
      <c r="M951" t="inlineStr"/>
      <c r="N951" t="inlineStr"/>
      <c r="O951" t="inlineStr"/>
      <c r="P951" t="inlineStr"/>
      <c r="Q951" t="inlineStr"/>
    </row>
    <row r="952">
      <c r="A952" t="inlineStr">
        <is>
          <t>kulsrestha.j</t>
        </is>
      </c>
      <c r="B952" t="inlineStr">
        <is>
          <t>Kulsrestha Joshi</t>
        </is>
      </c>
      <c r="C952" t="inlineStr">
        <is>
          <t>kulsrestha.j@osmosys.co</t>
        </is>
      </c>
      <c r="D952" t="inlineStr">
        <is>
          <t>incident-reporter</t>
        </is>
      </c>
      <c r="E952">
        <f>HYPERLINK("http://gitlab.osmosys.co/incident-reporter/incident-reporter-angular-portal", "OQSHA Portal")</f>
        <v/>
      </c>
      <c r="F952">
        <f>HYPERLINK("http://gitlab.osmosys.co/incident-reporter/incident-reporter-angular-portal/-/merge_requests/3589", "fix: implement static user display for reported by field")</f>
        <v/>
      </c>
      <c r="G952" t="inlineStr">
        <is>
          <t>fix/reported-by-site-access</t>
        </is>
      </c>
      <c r="H952" t="inlineStr">
        <is>
          <t>sprint-17</t>
        </is>
      </c>
      <c r="I952" t="inlineStr">
        <is>
          <t>merged</t>
        </is>
      </c>
      <c r="J952" t="inlineStr">
        <is>
          <t>13e4f5cefa1a3c7dd042643aee6bcb240f033b4b</t>
        </is>
      </c>
      <c r="K952">
        <f>HYPERLINK("http://gitlab.osmosys.co/incident-reporter/incident-reporter-angular-portal/-/merge_requests/3589#note_242416", "Please reducing repetition, improving readability, and isolate concerns
```
updateStaticReportedByUser(userId: string, fallbackName: string) {
  this.showStaticReportedByUser = !isUserInList(userId);
  if (this.showStaticReportedByUser) {
    this.staticReportedByUserName = fallbackName;
  }
}
const loggedInUserId = this.loggedInUserDetailsByOrg?.UserId;
const loggedInUserName = this.loggedInUserDetailsByOrg?.UserDisplayName;
let selectedUserId = loggedInUserId;
const isUserInList = (userId: string) =&gt;
  this.appUserList.some((user) =&gt; user.Id === userId);
if (isSiteChanged) {
  this.updateStaticReportedByUser(loggedInUserId, loggedInUserName);
} else if (this.incidentId &amp;&amp; this.reportedBy) {
  const reportedUserExists = isUserInList(this.reportedBy);
  if (reportedUserExists) {
    this.showStaticReportedByUser = false;
    selectedUserId = this.reportedBy;
  } else {
    this.showStaticReportedByUser = true;
    this.staticReportedByUserName = loggedInUserName;
  }
} else {
  this.updateStaticReportedByUser(loggedInUserId, loggedInUserName);
}
const selectedUser = this.appUserList.find((user) =&gt; user.Id === selectedUserId);
if (selectedUser) {
  this.incident.userId = selectedUser;
  this.selectedUserList = [selectedUser];
  this.getDivisionByUserId(selectedUser.Id);
}
if (this.showStaticReportedByUser) {
  this.getAllDivisionList();
  this.incident.userId = loggedInUserId;
  this.appUserId = loggedInUserId;
}
```")</f>
        <v/>
      </c>
      <c r="L952" t="inlineStr">
        <is>
          <t>2025-07-26 02:53:08.985 IST</t>
        </is>
      </c>
      <c r="M952" t="inlineStr">
        <is>
          <t>Soundariya B</t>
        </is>
      </c>
      <c r="N952" t="inlineStr">
        <is>
          <t>Yes</t>
        </is>
      </c>
      <c r="O952" t="inlineStr">
        <is>
          <t>No</t>
        </is>
      </c>
      <c r="P952" t="inlineStr"/>
      <c r="Q952" t="inlineStr">
        <is>
          <t>Good</t>
        </is>
      </c>
    </row>
    <row r="953">
      <c r="A953" t="inlineStr">
        <is>
          <t>kulsrestha.j</t>
        </is>
      </c>
      <c r="B953" t="inlineStr">
        <is>
          <t>Kulsrestha Joshi</t>
        </is>
      </c>
      <c r="C953" t="inlineStr">
        <is>
          <t>kulsrestha.j@osmosys.co</t>
        </is>
      </c>
      <c r="D953" t="inlineStr">
        <is>
          <t>incident-reporter</t>
        </is>
      </c>
      <c r="E953">
        <f>HYPERLINK("http://gitlab.osmosys.co/incident-reporter/incident-reporter-angular-portal", "OQSHA Portal")</f>
        <v/>
      </c>
      <c r="F953">
        <f>HYPERLINK("http://gitlab.osmosys.co/incident-reporter/incident-reporter-angular-portal/-/merge_requests/3589", "fix: implement static user display for reported by field")</f>
        <v/>
      </c>
      <c r="G953" t="inlineStr">
        <is>
          <t>fix/reported-by-site-access</t>
        </is>
      </c>
      <c r="H953" t="inlineStr">
        <is>
          <t>sprint-17</t>
        </is>
      </c>
      <c r="I953" t="inlineStr">
        <is>
          <t>merged</t>
        </is>
      </c>
      <c r="J953" t="inlineStr">
        <is>
          <t>13e4f5cefa1a3c7dd042643aee6bcb240f033b4b</t>
        </is>
      </c>
      <c r="K953">
        <f>HYPERLINK("http://gitlab.osmosys.co/incident-reporter/incident-reporter-angular-portal/-/merge_requests/3589#note_242439", "Updated")</f>
        <v/>
      </c>
      <c r="L953" t="inlineStr">
        <is>
          <t>2025-07-26 05:15:35.051 IST</t>
        </is>
      </c>
      <c r="M953" t="inlineStr">
        <is>
          <t>Rupam Vallecha</t>
        </is>
      </c>
      <c r="N953" t="inlineStr">
        <is>
          <t>Yes</t>
        </is>
      </c>
      <c r="O953" t="inlineStr">
        <is>
          <t>No</t>
        </is>
      </c>
      <c r="P953" t="inlineStr"/>
      <c r="Q953" t="inlineStr">
        <is>
          <t>Good</t>
        </is>
      </c>
    </row>
    <row r="954">
      <c r="A954" t="inlineStr">
        <is>
          <t>kulsrestha.j</t>
        </is>
      </c>
      <c r="B954" t="inlineStr">
        <is>
          <t>Kulsrestha Joshi</t>
        </is>
      </c>
      <c r="C954" t="inlineStr">
        <is>
          <t>kulsrestha.j@osmosys.co</t>
        </is>
      </c>
      <c r="D954" t="inlineStr">
        <is>
          <t>incident-reporter</t>
        </is>
      </c>
      <c r="E954">
        <f>HYPERLINK("http://gitlab.osmosys.co/incident-reporter/incident-reporter-angular-portal", "OQSHA Portal")</f>
        <v/>
      </c>
      <c r="F954">
        <f>HYPERLINK("http://gitlab.osmosys.co/incident-reporter/incident-reporter-angular-portal/-/merge_requests/3589", "fix: implement static user display for reported by field")</f>
        <v/>
      </c>
      <c r="G954" t="inlineStr">
        <is>
          <t>fix/reported-by-site-access</t>
        </is>
      </c>
      <c r="H954" t="inlineStr">
        <is>
          <t>sprint-17</t>
        </is>
      </c>
      <c r="I954" t="inlineStr">
        <is>
          <t>merged</t>
        </is>
      </c>
      <c r="J954" t="inlineStr">
        <is>
          <t>6f70bcf238067d96a35eb9d1bcab4481243eca80</t>
        </is>
      </c>
      <c r="K954">
        <f>HYPERLINK("http://gitlab.osmosys.co/incident-reporter/incident-reporter-angular-portal/-/merge_requests/3589#note_242417", "Get it from constant file")</f>
        <v/>
      </c>
      <c r="L954" t="inlineStr">
        <is>
          <t>2025-07-26 02:53:09.058 IST</t>
        </is>
      </c>
      <c r="M954" t="inlineStr">
        <is>
          <t>Soundariya B</t>
        </is>
      </c>
      <c r="N954" t="inlineStr">
        <is>
          <t>Yes</t>
        </is>
      </c>
      <c r="O954" t="inlineStr">
        <is>
          <t>No</t>
        </is>
      </c>
      <c r="P954" t="inlineStr"/>
      <c r="Q954" t="inlineStr">
        <is>
          <t>Good</t>
        </is>
      </c>
    </row>
    <row r="955">
      <c r="A955" t="inlineStr">
        <is>
          <t>kulsrestha.j</t>
        </is>
      </c>
      <c r="B955" t="inlineStr">
        <is>
          <t>Kulsrestha Joshi</t>
        </is>
      </c>
      <c r="C955" t="inlineStr">
        <is>
          <t>kulsrestha.j@osmosys.co</t>
        </is>
      </c>
      <c r="D955" t="inlineStr">
        <is>
          <t>incident-reporter</t>
        </is>
      </c>
      <c r="E955">
        <f>HYPERLINK("http://gitlab.osmosys.co/incident-reporter/incident-reporter-angular-portal", "OQSHA Portal")</f>
        <v/>
      </c>
      <c r="F955">
        <f>HYPERLINK("http://gitlab.osmosys.co/incident-reporter/incident-reporter-angular-portal/-/merge_requests/3589", "fix: implement static user display for reported by field")</f>
        <v/>
      </c>
      <c r="G955" t="inlineStr">
        <is>
          <t>fix/reported-by-site-access</t>
        </is>
      </c>
      <c r="H955" t="inlineStr">
        <is>
          <t>sprint-17</t>
        </is>
      </c>
      <c r="I955" t="inlineStr">
        <is>
          <t>merged</t>
        </is>
      </c>
      <c r="J955" t="inlineStr">
        <is>
          <t>6f70bcf238067d96a35eb9d1bcab4481243eca80</t>
        </is>
      </c>
      <c r="K955">
        <f>HYPERLINK("http://gitlab.osmosys.co/incident-reporter/incident-reporter-angular-portal/-/merge_requests/3589#note_242431", "done")</f>
        <v/>
      </c>
      <c r="L955" t="inlineStr">
        <is>
          <t>2025-07-26 04:29:02.843 IST</t>
        </is>
      </c>
      <c r="M955" t="inlineStr">
        <is>
          <t>Rupam Vallecha</t>
        </is>
      </c>
      <c r="N955" t="inlineStr">
        <is>
          <t>Yes</t>
        </is>
      </c>
      <c r="O955" t="inlineStr">
        <is>
          <t>No</t>
        </is>
      </c>
      <c r="P955" t="inlineStr"/>
      <c r="Q955" t="inlineStr">
        <is>
          <t>Good</t>
        </is>
      </c>
    </row>
    <row r="956">
      <c r="A956" t="inlineStr">
        <is>
          <t>kulsrestha.j</t>
        </is>
      </c>
      <c r="B956" t="inlineStr">
        <is>
          <t>Kulsrestha Joshi</t>
        </is>
      </c>
      <c r="C956" t="inlineStr">
        <is>
          <t>kulsrestha.j@osmosys.co</t>
        </is>
      </c>
      <c r="D956" t="inlineStr">
        <is>
          <t>incident-reporter</t>
        </is>
      </c>
      <c r="E956">
        <f>HYPERLINK("http://gitlab.osmosys.co/incident-reporter/incident-reporter-angular-portal", "OQSHA Portal")</f>
        <v/>
      </c>
      <c r="F956">
        <f>HYPERLINK("http://gitlab.osmosys.co/incident-reporter/incident-reporter-angular-portal/-/merge_requests/3589", "fix: implement static user display for reported by field")</f>
        <v/>
      </c>
      <c r="G956" t="inlineStr">
        <is>
          <t>fix/reported-by-site-access</t>
        </is>
      </c>
      <c r="H956" t="inlineStr">
        <is>
          <t>sprint-17</t>
        </is>
      </c>
      <c r="I956" t="inlineStr">
        <is>
          <t>merged</t>
        </is>
      </c>
      <c r="J956" t="inlineStr">
        <is>
          <t>b752442a303a55c1b39502c038624781d36af0c9</t>
        </is>
      </c>
      <c r="K956">
        <f>HYPERLINK("http://gitlab.osmosys.co/incident-reporter/incident-reporter-angular-portal/-/merge_requests/3589#note_242418", "These two lines are using commonly so can you store in public variable and initialize on ngOnInI() and reuse those variable in these plaaces")</f>
        <v/>
      </c>
      <c r="L956" t="inlineStr">
        <is>
          <t>2025-07-26 02:53:09.119 IST</t>
        </is>
      </c>
      <c r="M956" t="inlineStr">
        <is>
          <t>Soundariya B</t>
        </is>
      </c>
      <c r="N956" t="inlineStr">
        <is>
          <t>Yes</t>
        </is>
      </c>
      <c r="O956" t="inlineStr">
        <is>
          <t>No</t>
        </is>
      </c>
      <c r="P956" t="inlineStr"/>
      <c r="Q956" t="inlineStr">
        <is>
          <t>Good</t>
        </is>
      </c>
    </row>
    <row r="957">
      <c r="A957" t="inlineStr">
        <is>
          <t>kulsrestha.j</t>
        </is>
      </c>
      <c r="B957" t="inlineStr">
        <is>
          <t>Kulsrestha Joshi</t>
        </is>
      </c>
      <c r="C957" t="inlineStr">
        <is>
          <t>kulsrestha.j@osmosys.co</t>
        </is>
      </c>
      <c r="D957" t="inlineStr">
        <is>
          <t>incident-reporter</t>
        </is>
      </c>
      <c r="E957">
        <f>HYPERLINK("http://gitlab.osmosys.co/incident-reporter/incident-reporter-angular-portal", "OQSHA Portal")</f>
        <v/>
      </c>
      <c r="F957">
        <f>HYPERLINK("http://gitlab.osmosys.co/incident-reporter/incident-reporter-angular-portal/-/merge_requests/3589", "fix: implement static user display for reported by field")</f>
        <v/>
      </c>
      <c r="G957" t="inlineStr">
        <is>
          <t>fix/reported-by-site-access</t>
        </is>
      </c>
      <c r="H957" t="inlineStr">
        <is>
          <t>sprint-17</t>
        </is>
      </c>
      <c r="I957" t="inlineStr">
        <is>
          <t>merged</t>
        </is>
      </c>
      <c r="J957" t="inlineStr">
        <is>
          <t>b752442a303a55c1b39502c038624781d36af0c9</t>
        </is>
      </c>
      <c r="K957">
        <f>HYPERLINK("http://gitlab.osmosys.co/incident-reporter/incident-reporter-angular-portal/-/merge_requests/3589#note_242432", "done")</f>
        <v/>
      </c>
      <c r="L957" t="inlineStr">
        <is>
          <t>2025-07-26 04:29:08.572 IST</t>
        </is>
      </c>
      <c r="M957" t="inlineStr">
        <is>
          <t>Rupam Vallecha</t>
        </is>
      </c>
      <c r="N957" t="inlineStr">
        <is>
          <t>Yes</t>
        </is>
      </c>
      <c r="O957" t="inlineStr">
        <is>
          <t>No</t>
        </is>
      </c>
      <c r="P957" t="inlineStr"/>
      <c r="Q957" t="inlineStr">
        <is>
          <t>Good</t>
        </is>
      </c>
    </row>
    <row r="958">
      <c r="A958" t="inlineStr">
        <is>
          <t>kulsrestha.j</t>
        </is>
      </c>
      <c r="B958" t="inlineStr">
        <is>
          <t>Kulsrestha Joshi</t>
        </is>
      </c>
      <c r="C958" t="inlineStr">
        <is>
          <t>kulsrestha.j@osmosys.co</t>
        </is>
      </c>
      <c r="D958" t="inlineStr">
        <is>
          <t>incident-reporter</t>
        </is>
      </c>
      <c r="E958">
        <f>HYPERLINK("http://gitlab.osmosys.co/incident-reporter/incident-reporter-angular-portal", "OQSHA Portal")</f>
        <v/>
      </c>
      <c r="F958">
        <f>HYPERLINK("http://gitlab.osmosys.co/incident-reporter/incident-reporter-angular-portal/-/merge_requests/3579", "fix: fix null data handling in sites datatable")</f>
        <v/>
      </c>
      <c r="G958" t="inlineStr">
        <is>
          <t>fix/sites-datatable</t>
        </is>
      </c>
      <c r="H958" t="inlineStr">
        <is>
          <t>sprint-18</t>
        </is>
      </c>
      <c r="I958" t="inlineStr">
        <is>
          <t>merged</t>
        </is>
      </c>
      <c r="J958" t="inlineStr"/>
      <c r="K958" t="inlineStr"/>
      <c r="L958" t="inlineStr"/>
      <c r="M958" t="inlineStr"/>
      <c r="N958" t="inlineStr"/>
      <c r="O958" t="inlineStr"/>
      <c r="P958" t="inlineStr"/>
      <c r="Q958" t="inlineStr"/>
    </row>
    <row r="959">
      <c r="A959" t="inlineStr">
        <is>
          <t>kulsrestha.j</t>
        </is>
      </c>
      <c r="B959" t="inlineStr">
        <is>
          <t>Kulsrestha Joshi</t>
        </is>
      </c>
      <c r="C959" t="inlineStr">
        <is>
          <t>kulsrestha.j@osmosys.co</t>
        </is>
      </c>
      <c r="D959" t="inlineStr">
        <is>
          <t>incident-reporter</t>
        </is>
      </c>
      <c r="E959">
        <f>HYPERLINK("http://gitlab.osmosys.co/incident-reporter/incident-reporter-angular-portal", "OQSHA Portal")</f>
        <v/>
      </c>
      <c r="F959">
        <f>HYPERLINK("http://gitlab.osmosys.co/incident-reporter/incident-reporter-angular-portal/-/merge_requests/3578", "fix: update data rendering in table with null case handling")</f>
        <v/>
      </c>
      <c r="G959" t="inlineStr">
        <is>
          <t>fix/pssr-datatable</t>
        </is>
      </c>
      <c r="H959" t="inlineStr">
        <is>
          <t>sprint-18</t>
        </is>
      </c>
      <c r="I959" t="inlineStr">
        <is>
          <t>merged</t>
        </is>
      </c>
      <c r="J959" t="inlineStr"/>
      <c r="K959" t="inlineStr"/>
      <c r="L959" t="inlineStr"/>
      <c r="M959" t="inlineStr"/>
      <c r="N959" t="inlineStr"/>
      <c r="O959" t="inlineStr"/>
      <c r="P959" t="inlineStr"/>
      <c r="Q959" t="inlineStr"/>
    </row>
    <row r="960">
      <c r="A960" t="inlineStr">
        <is>
          <t>kulsrestha.j</t>
        </is>
      </c>
      <c r="B960" t="inlineStr">
        <is>
          <t>Kulsrestha Joshi</t>
        </is>
      </c>
      <c r="C960" t="inlineStr">
        <is>
          <t>kulsrestha.j@osmosys.co</t>
        </is>
      </c>
      <c r="D960" t="inlineStr">
        <is>
          <t>incident-reporter</t>
        </is>
      </c>
      <c r="E960">
        <f>HYPERLINK("http://gitlab.osmosys.co/incident-reporter/incident-reporter-angular-portal", "OQSHA Portal")</f>
        <v/>
      </c>
      <c r="F960">
        <f>HYPERLINK("http://gitlab.osmosys.co/incident-reporter/incident-reporter-angular-portal/-/merge_requests/3548", "feat: update inspection scheduling functionality , remove time and improve ui translations")</f>
        <v/>
      </c>
      <c r="G960" t="inlineStr">
        <is>
          <t>feat/update-inspection-save-status</t>
        </is>
      </c>
      <c r="H960" t="inlineStr">
        <is>
          <t>sprint-17</t>
        </is>
      </c>
      <c r="I960" t="inlineStr">
        <is>
          <t>merged</t>
        </is>
      </c>
      <c r="J960" t="inlineStr"/>
      <c r="K960" t="inlineStr"/>
      <c r="L960" t="inlineStr"/>
      <c r="M960" t="inlineStr"/>
      <c r="N960" t="inlineStr"/>
      <c r="O960" t="inlineStr"/>
      <c r="P960" t="inlineStr"/>
      <c r="Q960" t="inlineStr"/>
    </row>
    <row r="961">
      <c r="A961" t="inlineStr">
        <is>
          <t>kulsrestha.j</t>
        </is>
      </c>
      <c r="B961" t="inlineStr">
        <is>
          <t>Kulsrestha Joshi</t>
        </is>
      </c>
      <c r="C961" t="inlineStr">
        <is>
          <t>kulsrestha.j@osmosys.co</t>
        </is>
      </c>
      <c r="D961" t="inlineStr">
        <is>
          <t>incident-reporter</t>
        </is>
      </c>
      <c r="E961">
        <f>HYPERLINK("http://gitlab.osmosys.co/incident-reporter/incident-reporter-angular-portal", "OQSHA Portal")</f>
        <v/>
      </c>
      <c r="F961">
        <f>HYPERLINK("http://gitlab.osmosys.co/incident-reporter/incident-reporter-angular-portal/-/merge_requests/3543", "feat: integrate new divisions api for dropdowns")</f>
        <v/>
      </c>
      <c r="G961" t="inlineStr">
        <is>
          <t>feat/division-dropdown-api</t>
        </is>
      </c>
      <c r="H961" t="inlineStr">
        <is>
          <t>sprint-18</t>
        </is>
      </c>
      <c r="I961" t="inlineStr">
        <is>
          <t>merged</t>
        </is>
      </c>
      <c r="J961" t="inlineStr">
        <is>
          <t>bb5fa47f4c5077589555d944e73a01f92b5bbea9</t>
        </is>
      </c>
      <c r="K961">
        <f>HYPERLINK("http://gitlab.osmosys.co/incident-reporter/incident-reporter-angular-portal/-/merge_requests/3543#note_241185", "Division and categories both are same so rename it as getCategoryListBySites")</f>
        <v/>
      </c>
      <c r="L961" t="inlineStr">
        <is>
          <t>2025-07-24 04:27:56.435 IST</t>
        </is>
      </c>
      <c r="M961" t="inlineStr">
        <is>
          <t>Soundariya B</t>
        </is>
      </c>
      <c r="N961" t="inlineStr">
        <is>
          <t>Yes</t>
        </is>
      </c>
      <c r="O961" t="inlineStr">
        <is>
          <t>Yes</t>
        </is>
      </c>
      <c r="P961" t="inlineStr">
        <is>
          <t>Soundariya B</t>
        </is>
      </c>
      <c r="Q961" t="inlineStr">
        <is>
          <t>Good</t>
        </is>
      </c>
    </row>
    <row r="962">
      <c r="A962" t="inlineStr">
        <is>
          <t>kulsrestha.j</t>
        </is>
      </c>
      <c r="B962" t="inlineStr">
        <is>
          <t>Kulsrestha Joshi</t>
        </is>
      </c>
      <c r="C962" t="inlineStr">
        <is>
          <t>kulsrestha.j@osmosys.co</t>
        </is>
      </c>
      <c r="D962" t="inlineStr">
        <is>
          <t>incident-reporter</t>
        </is>
      </c>
      <c r="E962">
        <f>HYPERLINK("http://gitlab.osmosys.co/incident-reporter/incident-reporter-angular-portal", "OQSHA Portal")</f>
        <v/>
      </c>
      <c r="F962">
        <f>HYPERLINK("http://gitlab.osmosys.co/incident-reporter/incident-reporter-angular-portal/-/merge_requests/3543", "feat: integrate new divisions api for dropdowns")</f>
        <v/>
      </c>
      <c r="G962" t="inlineStr">
        <is>
          <t>feat/division-dropdown-api</t>
        </is>
      </c>
      <c r="H962" t="inlineStr">
        <is>
          <t>sprint-18</t>
        </is>
      </c>
      <c r="I962" t="inlineStr">
        <is>
          <t>merged</t>
        </is>
      </c>
      <c r="J962" t="inlineStr">
        <is>
          <t>bb5fa47f4c5077589555d944e73a01f92b5bbea9</t>
        </is>
      </c>
      <c r="K962">
        <f>HYPERLINK("http://gitlab.osmosys.co/incident-reporter/incident-reporter-angular-portal/-/merge_requests/3543#note_241229", "Updated")</f>
        <v/>
      </c>
      <c r="L962" t="inlineStr">
        <is>
          <t>2025-07-24 11:05:02.361 IST</t>
        </is>
      </c>
      <c r="M962" t="inlineStr">
        <is>
          <t>Kulsrestha Joshi</t>
        </is>
      </c>
      <c r="N962" t="inlineStr">
        <is>
          <t>No</t>
        </is>
      </c>
      <c r="O962" t="inlineStr">
        <is>
          <t>Yes</t>
        </is>
      </c>
      <c r="P962" t="inlineStr">
        <is>
          <t>Soundariya B</t>
        </is>
      </c>
      <c r="Q962" t="inlineStr">
        <is>
          <t>Good</t>
        </is>
      </c>
    </row>
    <row r="963">
      <c r="A963" t="inlineStr">
        <is>
          <t>kulsrestha.j</t>
        </is>
      </c>
      <c r="B963" t="inlineStr">
        <is>
          <t>Kulsrestha Joshi</t>
        </is>
      </c>
      <c r="C963" t="inlineStr">
        <is>
          <t>kulsrestha.j@osmosys.co</t>
        </is>
      </c>
      <c r="D963" t="inlineStr">
        <is>
          <t>incident-reporter</t>
        </is>
      </c>
      <c r="E963">
        <f>HYPERLINK("http://gitlab.osmosys.co/incident-reporter/incident-reporter-angular-portal", "OQSHA Portal")</f>
        <v/>
      </c>
      <c r="F963">
        <f>HYPERLINK("http://gitlab.osmosys.co/incident-reporter/incident-reporter-angular-portal/-/merge_requests/3543", "feat: integrate new divisions api for dropdowns")</f>
        <v/>
      </c>
      <c r="G963" t="inlineStr">
        <is>
          <t>feat/division-dropdown-api</t>
        </is>
      </c>
      <c r="H963" t="inlineStr">
        <is>
          <t>sprint-18</t>
        </is>
      </c>
      <c r="I963" t="inlineStr">
        <is>
          <t>merged</t>
        </is>
      </c>
      <c r="J963" t="inlineStr">
        <is>
          <t>ba271a2cea6a742c78023a051e6e8a59421604aa</t>
        </is>
      </c>
      <c r="K963">
        <f>HYPERLINK("http://gitlab.osmosys.co/incident-reporter/incident-reporter-angular-portal/-/merge_requests/3543#note_241186", "These lines of code using more than 1 place so please take it from helper file and reuse ut")</f>
        <v/>
      </c>
      <c r="L963" t="inlineStr">
        <is>
          <t>2025-07-24 04:27:56.534 IST</t>
        </is>
      </c>
      <c r="M963" t="inlineStr">
        <is>
          <t>Soundariya B</t>
        </is>
      </c>
      <c r="N963" t="inlineStr">
        <is>
          <t>Yes</t>
        </is>
      </c>
      <c r="O963" t="inlineStr">
        <is>
          <t>Yes</t>
        </is>
      </c>
      <c r="P963" t="inlineStr">
        <is>
          <t>Soundariya B</t>
        </is>
      </c>
      <c r="Q963" t="inlineStr">
        <is>
          <t>Good</t>
        </is>
      </c>
    </row>
    <row r="964">
      <c r="A964" t="inlineStr">
        <is>
          <t>kulsrestha.j</t>
        </is>
      </c>
      <c r="B964" t="inlineStr">
        <is>
          <t>Kulsrestha Joshi</t>
        </is>
      </c>
      <c r="C964" t="inlineStr">
        <is>
          <t>kulsrestha.j@osmosys.co</t>
        </is>
      </c>
      <c r="D964" t="inlineStr">
        <is>
          <t>incident-reporter</t>
        </is>
      </c>
      <c r="E964">
        <f>HYPERLINK("http://gitlab.osmosys.co/incident-reporter/incident-reporter-angular-portal", "OQSHA Portal")</f>
        <v/>
      </c>
      <c r="F964">
        <f>HYPERLINK("http://gitlab.osmosys.co/incident-reporter/incident-reporter-angular-portal/-/merge_requests/3543", "feat: integrate new divisions api for dropdowns")</f>
        <v/>
      </c>
      <c r="G964" t="inlineStr">
        <is>
          <t>feat/division-dropdown-api</t>
        </is>
      </c>
      <c r="H964" t="inlineStr">
        <is>
          <t>sprint-18</t>
        </is>
      </c>
      <c r="I964" t="inlineStr">
        <is>
          <t>merged</t>
        </is>
      </c>
      <c r="J964" t="inlineStr">
        <is>
          <t>ba271a2cea6a742c78023a051e6e8a59421604aa</t>
        </is>
      </c>
      <c r="K964">
        <f>HYPERLINK("http://gitlab.osmosys.co/incident-reporter/incident-reporter-angular-portal/-/merge_requests/3543#note_241236", "Updated")</f>
        <v/>
      </c>
      <c r="L964" t="inlineStr">
        <is>
          <t>2025-07-24 11:27:38.906 IST</t>
        </is>
      </c>
      <c r="M964" t="inlineStr">
        <is>
          <t>Kulsrestha Joshi</t>
        </is>
      </c>
      <c r="N964" t="inlineStr">
        <is>
          <t>No</t>
        </is>
      </c>
      <c r="O964" t="inlineStr">
        <is>
          <t>Yes</t>
        </is>
      </c>
      <c r="P964" t="inlineStr">
        <is>
          <t>Soundariya B</t>
        </is>
      </c>
      <c r="Q964" t="inlineStr">
        <is>
          <t>Good</t>
        </is>
      </c>
    </row>
    <row r="965">
      <c r="A965" t="inlineStr">
        <is>
          <t>kulsrestha.j</t>
        </is>
      </c>
      <c r="B965" t="inlineStr">
        <is>
          <t>Kulsrestha Joshi</t>
        </is>
      </c>
      <c r="C965" t="inlineStr">
        <is>
          <t>kulsrestha.j@osmosys.co</t>
        </is>
      </c>
      <c r="D965" t="inlineStr">
        <is>
          <t>incident-reporter</t>
        </is>
      </c>
      <c r="E965">
        <f>HYPERLINK("http://gitlab.osmosys.co/incident-reporter/incident-reporter-angular-portal", "OQSHA Portal")</f>
        <v/>
      </c>
      <c r="F965">
        <f>HYPERLINK("http://gitlab.osmosys.co/incident-reporter/incident-reporter-angular-portal/-/merge_requests/3543", "feat: integrate new divisions api for dropdowns")</f>
        <v/>
      </c>
      <c r="G965" t="inlineStr">
        <is>
          <t>feat/division-dropdown-api</t>
        </is>
      </c>
      <c r="H965" t="inlineStr">
        <is>
          <t>sprint-18</t>
        </is>
      </c>
      <c r="I965" t="inlineStr">
        <is>
          <t>merged</t>
        </is>
      </c>
      <c r="J965" t="inlineStr">
        <is>
          <t>1a0ed21cb59785d5d2d7d18ea06d60fc19d6b1da</t>
        </is>
      </c>
      <c r="K965">
        <f>HYPERLINK("http://gitlab.osmosys.co/incident-reporter/incident-reporter-angular-portal/-/merge_requests/3543#note_241187", "And variable name should be catergory as dropdown and property is now changed to categories/category")</f>
        <v/>
      </c>
      <c r="L965" t="inlineStr">
        <is>
          <t>2025-07-24 04:27:56.592 IST</t>
        </is>
      </c>
      <c r="M965" t="inlineStr">
        <is>
          <t>Soundariya B</t>
        </is>
      </c>
      <c r="N965" t="inlineStr">
        <is>
          <t>Yes</t>
        </is>
      </c>
      <c r="O965" t="inlineStr">
        <is>
          <t>Yes</t>
        </is>
      </c>
      <c r="P965" t="inlineStr">
        <is>
          <t>Soundariya B</t>
        </is>
      </c>
      <c r="Q965" t="inlineStr">
        <is>
          <t>Good</t>
        </is>
      </c>
    </row>
    <row r="966">
      <c r="A966" t="inlineStr">
        <is>
          <t>kulsrestha.j</t>
        </is>
      </c>
      <c r="B966" t="inlineStr">
        <is>
          <t>Kulsrestha Joshi</t>
        </is>
      </c>
      <c r="C966" t="inlineStr">
        <is>
          <t>kulsrestha.j@osmosys.co</t>
        </is>
      </c>
      <c r="D966" t="inlineStr">
        <is>
          <t>incident-reporter</t>
        </is>
      </c>
      <c r="E966">
        <f>HYPERLINK("http://gitlab.osmosys.co/incident-reporter/incident-reporter-angular-portal", "OQSHA Portal")</f>
        <v/>
      </c>
      <c r="F966">
        <f>HYPERLINK("http://gitlab.osmosys.co/incident-reporter/incident-reporter-angular-portal/-/merge_requests/3543", "feat: integrate new divisions api for dropdowns")</f>
        <v/>
      </c>
      <c r="G966" t="inlineStr">
        <is>
          <t>feat/division-dropdown-api</t>
        </is>
      </c>
      <c r="H966" t="inlineStr">
        <is>
          <t>sprint-18</t>
        </is>
      </c>
      <c r="I966" t="inlineStr">
        <is>
          <t>merged</t>
        </is>
      </c>
      <c r="J966" t="inlineStr">
        <is>
          <t>1a0ed21cb59785d5d2d7d18ea06d60fc19d6b1da</t>
        </is>
      </c>
      <c r="K966">
        <f>HYPERLINK("http://gitlab.osmosys.co/incident-reporter/incident-reporter-angular-portal/-/merge_requests/3543#note_241231", "Updated to categoryList and updated in all places")</f>
        <v/>
      </c>
      <c r="L966" t="inlineStr">
        <is>
          <t>2025-07-24 11:10:42.588 IST</t>
        </is>
      </c>
      <c r="M966" t="inlineStr">
        <is>
          <t>Kulsrestha Joshi</t>
        </is>
      </c>
      <c r="N966" t="inlineStr">
        <is>
          <t>No</t>
        </is>
      </c>
      <c r="O966" t="inlineStr">
        <is>
          <t>Yes</t>
        </is>
      </c>
      <c r="P966" t="inlineStr">
        <is>
          <t>Soundariya B</t>
        </is>
      </c>
      <c r="Q966" t="inlineStr">
        <is>
          <t>Good</t>
        </is>
      </c>
    </row>
    <row r="967">
      <c r="A967" t="inlineStr">
        <is>
          <t>kulsrestha.j</t>
        </is>
      </c>
      <c r="B967" t="inlineStr">
        <is>
          <t>Kulsrestha Joshi</t>
        </is>
      </c>
      <c r="C967" t="inlineStr">
        <is>
          <t>kulsrestha.j@osmosys.co</t>
        </is>
      </c>
      <c r="D967" t="inlineStr">
        <is>
          <t>incident-reporter</t>
        </is>
      </c>
      <c r="E967">
        <f>HYPERLINK("http://gitlab.osmosys.co/incident-reporter/incident-reporter-angular-portal", "OQSHA Portal")</f>
        <v/>
      </c>
      <c r="F967">
        <f>HYPERLINK("http://gitlab.osmosys.co/incident-reporter/incident-reporter-angular-portal/-/merge_requests/3543", "feat: integrate new divisions api for dropdowns")</f>
        <v/>
      </c>
      <c r="G967" t="inlineStr">
        <is>
          <t>feat/division-dropdown-api</t>
        </is>
      </c>
      <c r="H967" t="inlineStr">
        <is>
          <t>sprint-18</t>
        </is>
      </c>
      <c r="I967" t="inlineStr">
        <is>
          <t>merged</t>
        </is>
      </c>
      <c r="J967" t="inlineStr">
        <is>
          <t>289c418bc849d46f60894670aaa5f4d4608e3577</t>
        </is>
      </c>
      <c r="K967">
        <f>HYPERLINK("http://gitlab.osmosys.co/incident-reporter/incident-reporter-angular-portal/-/merge_requests/3543#note_241189", "In the testcase sheet, the wrong API is using please correct and update it")</f>
        <v/>
      </c>
      <c r="L967" t="inlineStr">
        <is>
          <t>2025-07-24 04:29:09.632 IST</t>
        </is>
      </c>
      <c r="M967" t="inlineStr">
        <is>
          <t>Soundariya B</t>
        </is>
      </c>
      <c r="N967" t="inlineStr">
        <is>
          <t>Yes</t>
        </is>
      </c>
      <c r="O967" t="inlineStr">
        <is>
          <t>Yes</t>
        </is>
      </c>
      <c r="P967" t="inlineStr">
        <is>
          <t>Soundariya B</t>
        </is>
      </c>
      <c r="Q967" t="inlineStr">
        <is>
          <t>Good</t>
        </is>
      </c>
    </row>
    <row r="968">
      <c r="A968" t="inlineStr">
        <is>
          <t>kulsrestha.j</t>
        </is>
      </c>
      <c r="B968" t="inlineStr">
        <is>
          <t>Kulsrestha Joshi</t>
        </is>
      </c>
      <c r="C968" t="inlineStr">
        <is>
          <t>kulsrestha.j@osmosys.co</t>
        </is>
      </c>
      <c r="D968" t="inlineStr">
        <is>
          <t>incident-reporter</t>
        </is>
      </c>
      <c r="E968">
        <f>HYPERLINK("http://gitlab.osmosys.co/incident-reporter/incident-reporter-angular-portal", "OQSHA Portal")</f>
        <v/>
      </c>
      <c r="F968">
        <f>HYPERLINK("http://gitlab.osmosys.co/incident-reporter/incident-reporter-angular-portal/-/merge_requests/3543", "feat: integrate new divisions api for dropdowns")</f>
        <v/>
      </c>
      <c r="G968" t="inlineStr">
        <is>
          <t>feat/division-dropdown-api</t>
        </is>
      </c>
      <c r="H968" t="inlineStr">
        <is>
          <t>sprint-18</t>
        </is>
      </c>
      <c r="I968" t="inlineStr">
        <is>
          <t>merged</t>
        </is>
      </c>
      <c r="J968" t="inlineStr">
        <is>
          <t>289c418bc849d46f60894670aaa5f4d4608e3577</t>
        </is>
      </c>
      <c r="K968">
        <f>HYPERLINK("http://gitlab.osmosys.co/incident-reporter/incident-reporter-angular-portal/-/merge_requests/3543#note_241230", "Updated")</f>
        <v/>
      </c>
      <c r="L968" t="inlineStr">
        <is>
          <t>2025-07-24 11:05:11.900 IST</t>
        </is>
      </c>
      <c r="M968" t="inlineStr">
        <is>
          <t>Kulsrestha Joshi</t>
        </is>
      </c>
      <c r="N968" t="inlineStr">
        <is>
          <t>No</t>
        </is>
      </c>
      <c r="O968" t="inlineStr">
        <is>
          <t>Yes</t>
        </is>
      </c>
      <c r="P968" t="inlineStr">
        <is>
          <t>Soundariya B</t>
        </is>
      </c>
      <c r="Q968" t="inlineStr">
        <is>
          <t>Good</t>
        </is>
      </c>
    </row>
    <row r="969">
      <c r="A969" t="inlineStr">
        <is>
          <t>kulsrestha.j</t>
        </is>
      </c>
      <c r="B969" t="inlineStr">
        <is>
          <t>Kulsrestha Joshi</t>
        </is>
      </c>
      <c r="C969" t="inlineStr">
        <is>
          <t>kulsrestha.j@osmosys.co</t>
        </is>
      </c>
      <c r="D969" t="inlineStr">
        <is>
          <t>incident-reporter</t>
        </is>
      </c>
      <c r="E969">
        <f>HYPERLINK("http://gitlab.osmosys.co/incident-reporter/incident-reporter-angular-portal", "OQSHA Portal")</f>
        <v/>
      </c>
      <c r="F969">
        <f>HYPERLINK("http://gitlab.osmosys.co/incident-reporter/incident-reporter-angular-portal/-/merge_requests/3542", "fix: fix department site filter and enhance task status list options")</f>
        <v/>
      </c>
      <c r="G969" t="inlineStr">
        <is>
          <t>fix/department-site</t>
        </is>
      </c>
      <c r="H969" t="inlineStr">
        <is>
          <t>sprint-18</t>
        </is>
      </c>
      <c r="I969" t="inlineStr">
        <is>
          <t>merged</t>
        </is>
      </c>
      <c r="J969" t="inlineStr"/>
      <c r="K969" t="inlineStr"/>
      <c r="L969" t="inlineStr"/>
      <c r="M969" t="inlineStr"/>
      <c r="N969" t="inlineStr"/>
      <c r="O969" t="inlineStr"/>
      <c r="P969" t="inlineStr"/>
      <c r="Q969" t="inlineStr"/>
    </row>
    <row r="970">
      <c r="A970" t="inlineStr">
        <is>
          <t>kulsrestha.j</t>
        </is>
      </c>
      <c r="B970" t="inlineStr">
        <is>
          <t>Kulsrestha Joshi</t>
        </is>
      </c>
      <c r="C970" t="inlineStr">
        <is>
          <t>kulsrestha.j@osmosys.co</t>
        </is>
      </c>
      <c r="D970" t="inlineStr">
        <is>
          <t>incident-reporter</t>
        </is>
      </c>
      <c r="E970">
        <f>HYPERLINK("http://gitlab.osmosys.co/incident-reporter/incident-reporter-angular-portal", "OQSHA Portal")</f>
        <v/>
      </c>
      <c r="F970">
        <f>HYPERLINK("http://gitlab.osmosys.co/incident-reporter/incident-reporter-angular-portal/-/merge_requests/3540", "fix: fix  department site filter and enhance task status list options")</f>
        <v/>
      </c>
      <c r="G970" t="inlineStr">
        <is>
          <t>fix/department-sites-filter</t>
        </is>
      </c>
      <c r="H970" t="inlineStr">
        <is>
          <t>sprint-17</t>
        </is>
      </c>
      <c r="I970" t="inlineStr">
        <is>
          <t>closed</t>
        </is>
      </c>
      <c r="J970" t="inlineStr"/>
      <c r="K970" t="inlineStr"/>
      <c r="L970" t="inlineStr"/>
      <c r="M970" t="inlineStr"/>
      <c r="N970" t="inlineStr"/>
      <c r="O970" t="inlineStr"/>
      <c r="P970" t="inlineStr"/>
      <c r="Q970" t="inlineStr"/>
    </row>
    <row r="971">
      <c r="A971" t="inlineStr">
        <is>
          <t>kulsrestha.j</t>
        </is>
      </c>
      <c r="B971" t="inlineStr">
        <is>
          <t>Kulsrestha Joshi</t>
        </is>
      </c>
      <c r="C971" t="inlineStr">
        <is>
          <t>kulsrestha.j@osmosys.co</t>
        </is>
      </c>
      <c r="D971" t="inlineStr">
        <is>
          <t>incident-reporter</t>
        </is>
      </c>
      <c r="E971">
        <f>HYPERLINK("http://gitlab.osmosys.co/incident-reporter/incident-reporter-angular-portal", "OQSHA Portal")</f>
        <v/>
      </c>
      <c r="F971">
        <f>HYPERLINK("http://gitlab.osmosys.co/incident-reporter/incident-reporter-angular-portal/-/merge_requests/3520", "fix: add flag based sites for tickets")</f>
        <v/>
      </c>
      <c r="G971" t="inlineStr">
        <is>
          <t>fix/enable-all-sites</t>
        </is>
      </c>
      <c r="H971" t="inlineStr">
        <is>
          <t>sprint-17</t>
        </is>
      </c>
      <c r="I971" t="inlineStr">
        <is>
          <t>merged</t>
        </is>
      </c>
      <c r="J971" t="inlineStr"/>
      <c r="K971" t="inlineStr"/>
      <c r="L971" t="inlineStr"/>
      <c r="M971" t="inlineStr"/>
      <c r="N971" t="inlineStr"/>
      <c r="O971" t="inlineStr"/>
      <c r="P971" t="inlineStr"/>
      <c r="Q971" t="inlineStr"/>
    </row>
    <row r="972">
      <c r="A972" t="inlineStr">
        <is>
          <t>kulsrestha.j</t>
        </is>
      </c>
      <c r="B972" t="inlineStr">
        <is>
          <t>Kulsrestha Joshi</t>
        </is>
      </c>
      <c r="C972" t="inlineStr">
        <is>
          <t>kulsrestha.j@osmosys.co</t>
        </is>
      </c>
      <c r="D972" t="inlineStr">
        <is>
          <t>incident-reporter</t>
        </is>
      </c>
      <c r="E972">
        <f>HYPERLINK("http://gitlab.osmosys.co/incident-reporter/incident-reporter-angular-portal", "OQSHA Portal")</f>
        <v/>
      </c>
      <c r="F972">
        <f>HYPERLINK("http://gitlab.osmosys.co/incident-reporter/incident-reporter-angular-portal/-/merge_requests/3505", "fix: update organisation owner handling in users")</f>
        <v/>
      </c>
      <c r="G972" t="inlineStr">
        <is>
          <t>fix/edit-owners-record</t>
        </is>
      </c>
      <c r="H972" t="inlineStr">
        <is>
          <t>sprint-17</t>
        </is>
      </c>
      <c r="I972" t="inlineStr">
        <is>
          <t>merged</t>
        </is>
      </c>
      <c r="J972" t="inlineStr"/>
      <c r="K972" t="inlineStr"/>
      <c r="L972" t="inlineStr"/>
      <c r="M972" t="inlineStr"/>
      <c r="N972" t="inlineStr"/>
      <c r="O972" t="inlineStr"/>
      <c r="P972" t="inlineStr"/>
      <c r="Q972" t="inlineStr"/>
    </row>
    <row r="973">
      <c r="A973" t="inlineStr">
        <is>
          <t>kulsrestha.j</t>
        </is>
      </c>
      <c r="B973" t="inlineStr">
        <is>
          <t>Kulsrestha Joshi</t>
        </is>
      </c>
      <c r="C973" t="inlineStr">
        <is>
          <t>kulsrestha.j@osmosys.co</t>
        </is>
      </c>
      <c r="D973" t="inlineStr">
        <is>
          <t>incident-reporter</t>
        </is>
      </c>
      <c r="E973">
        <f>HYPERLINK("http://gitlab.osmosys.co/incident-reporter/incident-reporter-angular-portal", "OQSHA Portal")</f>
        <v/>
      </c>
      <c r="F973">
        <f>HYPERLINK("http://gitlab.osmosys.co/incident-reporter/incident-reporter-angular-portal/-/merge_requests/3489", "fix: fix assigned to dropdown data and filter style")</f>
        <v/>
      </c>
      <c r="G973" t="inlineStr">
        <is>
          <t>fix/assets-page-assocaited-filters</t>
        </is>
      </c>
      <c r="H973" t="inlineStr">
        <is>
          <t>sprint-17</t>
        </is>
      </c>
      <c r="I973" t="inlineStr">
        <is>
          <t>merged</t>
        </is>
      </c>
      <c r="J973" t="inlineStr"/>
      <c r="K973" t="inlineStr"/>
      <c r="L973" t="inlineStr"/>
      <c r="M973" t="inlineStr"/>
      <c r="N973" t="inlineStr"/>
      <c r="O973" t="inlineStr"/>
      <c r="P973" t="inlineStr"/>
      <c r="Q973" t="inlineStr"/>
    </row>
    <row r="974">
      <c r="A974" t="inlineStr">
        <is>
          <t>kulsrestha.j</t>
        </is>
      </c>
      <c r="B974" t="inlineStr">
        <is>
          <t>Kulsrestha Joshi</t>
        </is>
      </c>
      <c r="C974" t="inlineStr">
        <is>
          <t>kulsrestha.j@osmosys.co</t>
        </is>
      </c>
      <c r="D974" t="inlineStr">
        <is>
          <t>incident-reporter</t>
        </is>
      </c>
      <c r="E974">
        <f>HYPERLINK("http://gitlab.osmosys.co/incident-reporter/incident-reporter-angular-portal", "OQSHA Portal")</f>
        <v/>
      </c>
      <c r="F974">
        <f>HYPERLINK("http://gitlab.osmosys.co/incident-reporter/incident-reporter-angular-portal/-/merge_requests/3483", "fix: update api to send site id as number")</f>
        <v/>
      </c>
      <c r="G974" t="inlineStr">
        <is>
          <t>fix/ticket-department-api</t>
        </is>
      </c>
      <c r="H974" t="inlineStr">
        <is>
          <t>sprint-17</t>
        </is>
      </c>
      <c r="I974" t="inlineStr">
        <is>
          <t>merged</t>
        </is>
      </c>
      <c r="J974" t="inlineStr"/>
      <c r="K974" t="inlineStr"/>
      <c r="L974" t="inlineStr"/>
      <c r="M974" t="inlineStr"/>
      <c r="N974" t="inlineStr"/>
      <c r="O974" t="inlineStr"/>
      <c r="P974" t="inlineStr"/>
      <c r="Q974" t="inlineStr"/>
    </row>
    <row r="975">
      <c r="A975" t="inlineStr">
        <is>
          <t>kulsrestha.j</t>
        </is>
      </c>
      <c r="B975" t="inlineStr">
        <is>
          <t>Kulsrestha Joshi</t>
        </is>
      </c>
      <c r="C975" t="inlineStr">
        <is>
          <t>kulsrestha.j@osmosys.co</t>
        </is>
      </c>
      <c r="D975" t="inlineStr">
        <is>
          <t>incident-reporter</t>
        </is>
      </c>
      <c r="E975">
        <f>HYPERLINK("http://gitlab.osmosys.co/incident-reporter/incident-reporter-angular-portal", "OQSHA Portal")</f>
        <v/>
      </c>
      <c r="F975">
        <f>HYPERLINK("http://gitlab.osmosys.co/incident-reporter/incident-reporter-angular-portal/-/merge_requests/3473", "Draft: feat: integrate incident categories api for dropdowns")</f>
        <v/>
      </c>
      <c r="G975" t="inlineStr">
        <is>
          <t>feat/division-dropdown-api</t>
        </is>
      </c>
      <c r="H975" t="inlineStr">
        <is>
          <t>sprint-17</t>
        </is>
      </c>
      <c r="I975" t="inlineStr">
        <is>
          <t>closed</t>
        </is>
      </c>
      <c r="J975" t="inlineStr"/>
      <c r="K975" t="inlineStr"/>
      <c r="L975" t="inlineStr"/>
      <c r="M975" t="inlineStr"/>
      <c r="N975" t="inlineStr"/>
      <c r="O975" t="inlineStr"/>
      <c r="P975" t="inlineStr"/>
      <c r="Q975" t="inlineStr"/>
    </row>
    <row r="976">
      <c r="A976" t="inlineStr">
        <is>
          <t>kulsrestha.j</t>
        </is>
      </c>
      <c r="B976" t="inlineStr">
        <is>
          <t>Kulsrestha Joshi</t>
        </is>
      </c>
      <c r="C976" t="inlineStr">
        <is>
          <t>kulsrestha.j@osmosys.co</t>
        </is>
      </c>
      <c r="D976" t="inlineStr">
        <is>
          <t>incident-reporter</t>
        </is>
      </c>
      <c r="E976">
        <f>HYPERLINK("http://gitlab.osmosys.co/incident-reporter/incident-reporter-angular-portal", "OQSHA Portal")</f>
        <v/>
      </c>
      <c r="F976">
        <f>HYPERLINK("http://gitlab.osmosys.co/incident-reporter/incident-reporter-angular-portal/-/merge_requests/3464", "fix: update utc time for assets maintenance and api route")</f>
        <v/>
      </c>
      <c r="G976" t="inlineStr">
        <is>
          <t>fix/asset-maintainence</t>
        </is>
      </c>
      <c r="H976" t="inlineStr">
        <is>
          <t>sprint-17</t>
        </is>
      </c>
      <c r="I976" t="inlineStr">
        <is>
          <t>merged</t>
        </is>
      </c>
      <c r="J976" t="inlineStr">
        <is>
          <t>dd7bacbb6dd5860ccbd322d4c36c93ee20c7d86f</t>
        </is>
      </c>
      <c r="K976">
        <f>HYPERLINK("http://gitlab.osmosys.co/incident-reporter/incident-reporter-angular-portal/-/merge_requests/3464#note_237446", "Remove all this manual conversion, you should use 'moment' which does it in couple of lines.")</f>
        <v/>
      </c>
      <c r="L976" t="inlineStr">
        <is>
          <t>2025-07-16 13:13:45.807 IST</t>
        </is>
      </c>
      <c r="M976" t="inlineStr">
        <is>
          <t>Raj Kumar</t>
        </is>
      </c>
      <c r="N976" t="inlineStr">
        <is>
          <t>Yes</t>
        </is>
      </c>
      <c r="O976" t="inlineStr">
        <is>
          <t>Yes</t>
        </is>
      </c>
      <c r="P976" t="inlineStr">
        <is>
          <t>Raj Kumar</t>
        </is>
      </c>
      <c r="Q976" t="inlineStr">
        <is>
          <t>Good</t>
        </is>
      </c>
    </row>
    <row r="977">
      <c r="A977" t="inlineStr">
        <is>
          <t>kulsrestha.j</t>
        </is>
      </c>
      <c r="B977" t="inlineStr">
        <is>
          <t>Kulsrestha Joshi</t>
        </is>
      </c>
      <c r="C977" t="inlineStr">
        <is>
          <t>kulsrestha.j@osmosys.co</t>
        </is>
      </c>
      <c r="D977" t="inlineStr">
        <is>
          <t>incident-reporter</t>
        </is>
      </c>
      <c r="E977">
        <f>HYPERLINK("http://gitlab.osmosys.co/incident-reporter/incident-reporter-angular-portal", "OQSHA Portal")</f>
        <v/>
      </c>
      <c r="F977">
        <f>HYPERLINK("http://gitlab.osmosys.co/incident-reporter/incident-reporter-angular-portal/-/merge_requests/3464", "fix: update utc time for assets maintenance and api route")</f>
        <v/>
      </c>
      <c r="G977" t="inlineStr">
        <is>
          <t>fix/asset-maintainence</t>
        </is>
      </c>
      <c r="H977" t="inlineStr">
        <is>
          <t>sprint-17</t>
        </is>
      </c>
      <c r="I977" t="inlineStr">
        <is>
          <t>merged</t>
        </is>
      </c>
      <c r="J977" t="inlineStr">
        <is>
          <t>dd7bacbb6dd5860ccbd322d4c36c93ee20c7d86f</t>
        </is>
      </c>
      <c r="K977">
        <f>HYPERLINK("http://gitlab.osmosys.co/incident-reporter/incident-reporter-angular-portal/-/merge_requests/3464#note_237461", "updated used moment to format time")</f>
        <v/>
      </c>
      <c r="L977" t="inlineStr">
        <is>
          <t>2025-07-16 13:19:36.241 IST</t>
        </is>
      </c>
      <c r="M977" t="inlineStr">
        <is>
          <t>Kulsrestha Joshi</t>
        </is>
      </c>
      <c r="N977" t="inlineStr">
        <is>
          <t>No</t>
        </is>
      </c>
      <c r="O977" t="inlineStr">
        <is>
          <t>Yes</t>
        </is>
      </c>
      <c r="P977" t="inlineStr">
        <is>
          <t>Raj Kumar</t>
        </is>
      </c>
      <c r="Q977" t="inlineStr">
        <is>
          <t>Good</t>
        </is>
      </c>
    </row>
    <row r="978">
      <c r="A978" t="inlineStr">
        <is>
          <t>kulsrestha.j</t>
        </is>
      </c>
      <c r="B978" t="inlineStr">
        <is>
          <t>Kulsrestha Joshi</t>
        </is>
      </c>
      <c r="C978" t="inlineStr">
        <is>
          <t>kulsrestha.j@osmosys.co</t>
        </is>
      </c>
      <c r="D978" t="inlineStr">
        <is>
          <t>incident-reporter</t>
        </is>
      </c>
      <c r="E978">
        <f>HYPERLINK("http://gitlab.osmosys.co/incident-reporter/incident-reporter-angular-portal", "OQSHA Portal")</f>
        <v/>
      </c>
      <c r="F978">
        <f>HYPERLINK("http://gitlab.osmosys.co/incident-reporter/incident-reporter-angular-portal/-/merge_requests/3462", "fix: conditionally fetch department list based on module access")</f>
        <v/>
      </c>
      <c r="G978" t="inlineStr">
        <is>
          <t>fix/department-access</t>
        </is>
      </c>
      <c r="H978" t="inlineStr">
        <is>
          <t>sprint-17</t>
        </is>
      </c>
      <c r="I978" t="inlineStr">
        <is>
          <t>merged</t>
        </is>
      </c>
      <c r="J978" t="inlineStr"/>
      <c r="K978" t="inlineStr"/>
      <c r="L978" t="inlineStr"/>
      <c r="M978" t="inlineStr"/>
      <c r="N978" t="inlineStr"/>
      <c r="O978" t="inlineStr"/>
      <c r="P978" t="inlineStr"/>
      <c r="Q978" t="inlineStr"/>
    </row>
    <row r="979">
      <c r="A979" t="inlineStr">
        <is>
          <t>kulsrestha.j</t>
        </is>
      </c>
      <c r="B979" t="inlineStr">
        <is>
          <t>Kulsrestha Joshi</t>
        </is>
      </c>
      <c r="C979" t="inlineStr">
        <is>
          <t>kulsrestha.j@osmosys.co</t>
        </is>
      </c>
      <c r="D979" t="inlineStr">
        <is>
          <t>incident-reporter</t>
        </is>
      </c>
      <c r="E979">
        <f>HYPERLINK("http://gitlab.osmosys.co/incident-reporter/incident-reporter-angular-portal", "OQSHA Portal")</f>
        <v/>
      </c>
      <c r="F979">
        <f>HYPERLINK("http://gitlab.osmosys.co/incident-reporter/incident-reporter-angular-portal/-/merge_requests/3456", "fix: update api params and col order")</f>
        <v/>
      </c>
      <c r="G979" t="inlineStr">
        <is>
          <t>fix/task-category</t>
        </is>
      </c>
      <c r="H979" t="inlineStr">
        <is>
          <t>sprint-17</t>
        </is>
      </c>
      <c r="I979" t="inlineStr">
        <is>
          <t>merged</t>
        </is>
      </c>
      <c r="J979" t="inlineStr"/>
      <c r="K979" t="inlineStr"/>
      <c r="L979" t="inlineStr"/>
      <c r="M979" t="inlineStr"/>
      <c r="N979" t="inlineStr"/>
      <c r="O979" t="inlineStr"/>
      <c r="P979" t="inlineStr"/>
      <c r="Q979" t="inlineStr"/>
    </row>
    <row r="980">
      <c r="A980" t="inlineStr">
        <is>
          <t>kulsrestha.j</t>
        </is>
      </c>
      <c r="B980" t="inlineStr">
        <is>
          <t>Kulsrestha Joshi</t>
        </is>
      </c>
      <c r="C980" t="inlineStr">
        <is>
          <t>kulsrestha.j@osmosys.co</t>
        </is>
      </c>
      <c r="D980" t="inlineStr">
        <is>
          <t>incident-reporter</t>
        </is>
      </c>
      <c r="E980">
        <f>HYPERLINK("http://gitlab.osmosys.co/incident-reporter/incident-reporter-angular-portal", "OQSHA Portal")</f>
        <v/>
      </c>
      <c r="F980">
        <f>HYPERLINK("http://gitlab.osmosys.co/incident-reporter/incident-reporter-angular-portal/-/merge_requests/3453", "fix: revert hira pdf")</f>
        <v/>
      </c>
      <c r="G980" t="inlineStr">
        <is>
          <t>fix/revert-hira-pdf</t>
        </is>
      </c>
      <c r="H980" t="inlineStr">
        <is>
          <t>sprint-17</t>
        </is>
      </c>
      <c r="I980" t="inlineStr">
        <is>
          <t>merged</t>
        </is>
      </c>
      <c r="J980" t="inlineStr"/>
      <c r="K980" t="inlineStr"/>
      <c r="L980" t="inlineStr"/>
      <c r="M980" t="inlineStr"/>
      <c r="N980" t="inlineStr"/>
      <c r="O980" t="inlineStr"/>
      <c r="P980" t="inlineStr"/>
      <c r="Q980" t="inlineStr"/>
    </row>
    <row r="981">
      <c r="A981" t="inlineStr">
        <is>
          <t>kulsrestha.j</t>
        </is>
      </c>
      <c r="B981" t="inlineStr">
        <is>
          <t>Kulsrestha Joshi</t>
        </is>
      </c>
      <c r="C981" t="inlineStr">
        <is>
          <t>kulsrestha.j@osmosys.co</t>
        </is>
      </c>
      <c r="D981" t="inlineStr">
        <is>
          <t>incident-reporter</t>
        </is>
      </c>
      <c r="E981">
        <f>HYPERLINK("http://gitlab.osmosys.co/incident-reporter/incident-reporter-angular-portal", "OQSHA Portal")</f>
        <v/>
      </c>
      <c r="F981">
        <f>HYPERLINK("http://gitlab.osmosys.co/incident-reporter/incident-reporter-angular-portal/-/merge_requests/3449", "fix: add submit button for task comments")</f>
        <v/>
      </c>
      <c r="G981" t="inlineStr">
        <is>
          <t>fix/task-comments-section</t>
        </is>
      </c>
      <c r="H981" t="inlineStr">
        <is>
          <t>sprint-17</t>
        </is>
      </c>
      <c r="I981" t="inlineStr">
        <is>
          <t>merged</t>
        </is>
      </c>
      <c r="J981" t="inlineStr"/>
      <c r="K981" t="inlineStr"/>
      <c r="L981" t="inlineStr"/>
      <c r="M981" t="inlineStr"/>
      <c r="N981" t="inlineStr"/>
      <c r="O981" t="inlineStr"/>
      <c r="P981" t="inlineStr"/>
      <c r="Q981" t="inlineStr"/>
    </row>
    <row r="982">
      <c r="A982" t="inlineStr">
        <is>
          <t>kulsrestha.j</t>
        </is>
      </c>
      <c r="B982" t="inlineStr">
        <is>
          <t>Kulsrestha Joshi</t>
        </is>
      </c>
      <c r="C982" t="inlineStr">
        <is>
          <t>kulsrestha.j@osmosys.co</t>
        </is>
      </c>
      <c r="D982" t="inlineStr">
        <is>
          <t>incident-reporter</t>
        </is>
      </c>
      <c r="E982">
        <f>HYPERLINK("http://gitlab.osmosys.co/incident-reporter/incident-reporter-angular-portal", "OQSHA Portal")</f>
        <v/>
      </c>
      <c r="F982">
        <f>HYPERLINK("http://gitlab.osmosys.co/incident-reporter/incident-reporter-angular-portal/-/merge_requests/3446", "fix: reset selected user list on site change and improve filter handling")</f>
        <v/>
      </c>
      <c r="G982" t="inlineStr">
        <is>
          <t>fix/tickets-table</t>
        </is>
      </c>
      <c r="H982" t="inlineStr">
        <is>
          <t>sprint-17</t>
        </is>
      </c>
      <c r="I982" t="inlineStr">
        <is>
          <t>merged</t>
        </is>
      </c>
      <c r="J982" t="inlineStr"/>
      <c r="K982" t="inlineStr"/>
      <c r="L982" t="inlineStr"/>
      <c r="M982" t="inlineStr"/>
      <c r="N982" t="inlineStr"/>
      <c r="O982" t="inlineStr"/>
      <c r="P982" t="inlineStr"/>
      <c r="Q982" t="inlineStr"/>
    </row>
    <row r="983">
      <c r="A983" t="inlineStr">
        <is>
          <t>kulsrestha.j</t>
        </is>
      </c>
      <c r="B983" t="inlineStr">
        <is>
          <t>Kulsrestha Joshi</t>
        </is>
      </c>
      <c r="C983" t="inlineStr">
        <is>
          <t>kulsrestha.j@osmosys.co</t>
        </is>
      </c>
      <c r="D983" t="inlineStr">
        <is>
          <t>incident-reporter</t>
        </is>
      </c>
      <c r="E983">
        <f>HYPERLINK("http://gitlab.osmosys.co/incident-reporter/incident-reporter-angular-portal", "OQSHA Portal")</f>
        <v/>
      </c>
      <c r="F983">
        <f>HYPERLINK("http://gitlab.osmosys.co/incident-reporter/incident-reporter-angular-portal/-/merge_requests/3424", "fix: fix refresh page on add comment")</f>
        <v/>
      </c>
      <c r="G983" t="inlineStr">
        <is>
          <t>fix/audit-pssr-bugs</t>
        </is>
      </c>
      <c r="H983" t="inlineStr">
        <is>
          <t>sprint-17</t>
        </is>
      </c>
      <c r="I983" t="inlineStr">
        <is>
          <t>merged</t>
        </is>
      </c>
      <c r="J983" t="inlineStr"/>
      <c r="K983" t="inlineStr"/>
      <c r="L983" t="inlineStr"/>
      <c r="M983" t="inlineStr"/>
      <c r="N983" t="inlineStr"/>
      <c r="O983" t="inlineStr"/>
      <c r="P983" t="inlineStr"/>
      <c r="Q983" t="inlineStr"/>
    </row>
    <row r="984">
      <c r="A984" t="inlineStr">
        <is>
          <t>kulsrestha.j</t>
        </is>
      </c>
      <c r="B984" t="inlineStr">
        <is>
          <t>Kulsrestha Joshi</t>
        </is>
      </c>
      <c r="C984" t="inlineStr">
        <is>
          <t>kulsrestha.j@osmosys.co</t>
        </is>
      </c>
      <c r="D984" t="inlineStr">
        <is>
          <t>incident-reporter</t>
        </is>
      </c>
      <c r="E984">
        <f>HYPERLINK("http://gitlab.osmosys.co/incident-reporter/incident-reporter-angular-portal", "OQSHA Portal")</f>
        <v/>
      </c>
      <c r="F984">
        <f>HYPERLINK("http://gitlab.osmosys.co/incident-reporter/incident-reporter-angular-portal/-/merge_requests/3407", "feat: add department association to tickets")</f>
        <v/>
      </c>
      <c r="G984" t="inlineStr">
        <is>
          <t>feat/department-tickets</t>
        </is>
      </c>
      <c r="H984" t="inlineStr">
        <is>
          <t>sprint-17</t>
        </is>
      </c>
      <c r="I984" t="inlineStr">
        <is>
          <t>merged</t>
        </is>
      </c>
      <c r="J984" t="inlineStr">
        <is>
          <t>42dbbe6cb87a050b246d13f68c0484755ff86e4a</t>
        </is>
      </c>
      <c r="K984">
        <f>HYPERLINK("http://gitlab.osmosys.co/incident-reporter/incident-reporter-angular-portal/-/merge_requests/3407#note_235602", "It should be an incidentUserId")</f>
        <v/>
      </c>
      <c r="L984" t="inlineStr">
        <is>
          <t>2025-07-12 01:46:53.723 IST</t>
        </is>
      </c>
      <c r="M984" t="inlineStr">
        <is>
          <t>Soundariya B</t>
        </is>
      </c>
      <c r="N984" t="inlineStr">
        <is>
          <t>Yes</t>
        </is>
      </c>
      <c r="O984" t="inlineStr">
        <is>
          <t>Yes</t>
        </is>
      </c>
      <c r="P984" t="inlineStr">
        <is>
          <t>Soundariya B</t>
        </is>
      </c>
      <c r="Q984" t="inlineStr">
        <is>
          <t>Good</t>
        </is>
      </c>
    </row>
    <row r="985">
      <c r="A985" t="inlineStr">
        <is>
          <t>kulsrestha.j</t>
        </is>
      </c>
      <c r="B985" t="inlineStr">
        <is>
          <t>Kulsrestha Joshi</t>
        </is>
      </c>
      <c r="C985" t="inlineStr">
        <is>
          <t>kulsrestha.j@osmosys.co</t>
        </is>
      </c>
      <c r="D985" t="inlineStr">
        <is>
          <t>incident-reporter</t>
        </is>
      </c>
      <c r="E985">
        <f>HYPERLINK("http://gitlab.osmosys.co/incident-reporter/incident-reporter-angular-portal", "OQSHA Portal")</f>
        <v/>
      </c>
      <c r="F985">
        <f>HYPERLINK("http://gitlab.osmosys.co/incident-reporter/incident-reporter-angular-portal/-/merge_requests/3407", "feat: add department association to tickets")</f>
        <v/>
      </c>
      <c r="G985" t="inlineStr">
        <is>
          <t>feat/department-tickets</t>
        </is>
      </c>
      <c r="H985" t="inlineStr">
        <is>
          <t>sprint-17</t>
        </is>
      </c>
      <c r="I985" t="inlineStr">
        <is>
          <t>merged</t>
        </is>
      </c>
      <c r="J985" t="inlineStr">
        <is>
          <t>42dbbe6cb87a050b246d13f68c0484755ff86e4a</t>
        </is>
      </c>
      <c r="K985">
        <f>HYPERLINK("http://gitlab.osmosys.co/incident-reporter/incident-reporter-angular-portal/-/merge_requests/3407#note_235730", "Updated")</f>
        <v/>
      </c>
      <c r="L985" t="inlineStr">
        <is>
          <t>2025-07-14 10:36:05.040 IST</t>
        </is>
      </c>
      <c r="M985" t="inlineStr">
        <is>
          <t>Kulsrestha Joshi</t>
        </is>
      </c>
      <c r="N985" t="inlineStr">
        <is>
          <t>No</t>
        </is>
      </c>
      <c r="O985" t="inlineStr">
        <is>
          <t>Yes</t>
        </is>
      </c>
      <c r="P985" t="inlineStr">
        <is>
          <t>Soundariya B</t>
        </is>
      </c>
      <c r="Q985" t="inlineStr">
        <is>
          <t>Good</t>
        </is>
      </c>
    </row>
    <row r="986">
      <c r="A986" t="inlineStr">
        <is>
          <t>kulsrestha.j</t>
        </is>
      </c>
      <c r="B986" t="inlineStr">
        <is>
          <t>Kulsrestha Joshi</t>
        </is>
      </c>
      <c r="C986" t="inlineStr">
        <is>
          <t>kulsrestha.j@osmosys.co</t>
        </is>
      </c>
      <c r="D986" t="inlineStr">
        <is>
          <t>incident-reporter</t>
        </is>
      </c>
      <c r="E986">
        <f>HYPERLINK("http://gitlab.osmosys.co/incident-reporter/incident-reporter-angular-portal", "OQSHA Portal")</f>
        <v/>
      </c>
      <c r="F986">
        <f>HYPERLINK("http://gitlab.osmosys.co/incident-reporter/incident-reporter-angular-portal/-/merge_requests/3407", "feat: add department association to tickets")</f>
        <v/>
      </c>
      <c r="G986" t="inlineStr">
        <is>
          <t>feat/department-tickets</t>
        </is>
      </c>
      <c r="H986" t="inlineStr">
        <is>
          <t>sprint-17</t>
        </is>
      </c>
      <c r="I986" t="inlineStr">
        <is>
          <t>merged</t>
        </is>
      </c>
      <c r="J986" t="inlineStr">
        <is>
          <t>6912048d89c99dbaf4932cb9085b12ed97c7acf9</t>
        </is>
      </c>
      <c r="K986">
        <f>HYPERLINK("http://gitlab.osmosys.co/incident-reporter/incident-reporter-angular-portal/-/merge_requests/3407#note_235603", "It should be an incidentUserId")</f>
        <v/>
      </c>
      <c r="L986" t="inlineStr">
        <is>
          <t>2025-07-12 01:46:53.792 IST</t>
        </is>
      </c>
      <c r="M986" t="inlineStr">
        <is>
          <t>Soundariya B</t>
        </is>
      </c>
      <c r="N986" t="inlineStr">
        <is>
          <t>Yes</t>
        </is>
      </c>
      <c r="O986" t="inlineStr">
        <is>
          <t>Yes</t>
        </is>
      </c>
      <c r="P986" t="inlineStr">
        <is>
          <t>Soundariya B</t>
        </is>
      </c>
      <c r="Q986" t="inlineStr">
        <is>
          <t>Good</t>
        </is>
      </c>
    </row>
    <row r="987">
      <c r="A987" t="inlineStr">
        <is>
          <t>kulsrestha.j</t>
        </is>
      </c>
      <c r="B987" t="inlineStr">
        <is>
          <t>Kulsrestha Joshi</t>
        </is>
      </c>
      <c r="C987" t="inlineStr">
        <is>
          <t>kulsrestha.j@osmosys.co</t>
        </is>
      </c>
      <c r="D987" t="inlineStr">
        <is>
          <t>incident-reporter</t>
        </is>
      </c>
      <c r="E987">
        <f>HYPERLINK("http://gitlab.osmosys.co/incident-reporter/incident-reporter-angular-portal", "OQSHA Portal")</f>
        <v/>
      </c>
      <c r="F987">
        <f>HYPERLINK("http://gitlab.osmosys.co/incident-reporter/incident-reporter-angular-portal/-/merge_requests/3407", "feat: add department association to tickets")</f>
        <v/>
      </c>
      <c r="G987" t="inlineStr">
        <is>
          <t>feat/department-tickets</t>
        </is>
      </c>
      <c r="H987" t="inlineStr">
        <is>
          <t>sprint-17</t>
        </is>
      </c>
      <c r="I987" t="inlineStr">
        <is>
          <t>merged</t>
        </is>
      </c>
      <c r="J987" t="inlineStr">
        <is>
          <t>6912048d89c99dbaf4932cb9085b12ed97c7acf9</t>
        </is>
      </c>
      <c r="K987">
        <f>HYPERLINK("http://gitlab.osmosys.co/incident-reporter/incident-reporter-angular-portal/-/merge_requests/3407#note_235731", "Updated")</f>
        <v/>
      </c>
      <c r="L987" t="inlineStr">
        <is>
          <t>2025-07-14 10:36:19.567 IST</t>
        </is>
      </c>
      <c r="M987" t="inlineStr">
        <is>
          <t>Kulsrestha Joshi</t>
        </is>
      </c>
      <c r="N987" t="inlineStr">
        <is>
          <t>No</t>
        </is>
      </c>
      <c r="O987" t="inlineStr">
        <is>
          <t>Yes</t>
        </is>
      </c>
      <c r="P987" t="inlineStr">
        <is>
          <t>Soundariya B</t>
        </is>
      </c>
      <c r="Q987" t="inlineStr">
        <is>
          <t>Good</t>
        </is>
      </c>
    </row>
    <row r="988">
      <c r="A988" t="inlineStr">
        <is>
          <t>kulsrestha.j</t>
        </is>
      </c>
      <c r="B988" t="inlineStr">
        <is>
          <t>Kulsrestha Joshi</t>
        </is>
      </c>
      <c r="C988" t="inlineStr">
        <is>
          <t>kulsrestha.j@osmosys.co</t>
        </is>
      </c>
      <c r="D988" t="inlineStr">
        <is>
          <t>incident-reporter</t>
        </is>
      </c>
      <c r="E988">
        <f>HYPERLINK("http://gitlab.osmosys.co/incident-reporter/incident-reporter-angular-portal", "OQSHA Portal")</f>
        <v/>
      </c>
      <c r="F988">
        <f>HYPERLINK("http://gitlab.osmosys.co/incident-reporter/incident-reporter-angular-portal/-/merge_requests/3407", "feat: add department association to tickets")</f>
        <v/>
      </c>
      <c r="G988" t="inlineStr">
        <is>
          <t>feat/department-tickets</t>
        </is>
      </c>
      <c r="H988" t="inlineStr">
        <is>
          <t>sprint-17</t>
        </is>
      </c>
      <c r="I988" t="inlineStr">
        <is>
          <t>merged</t>
        </is>
      </c>
      <c r="J988" t="inlineStr">
        <is>
          <t>991c4505f62db9fe9320efb6f2401821b516054d</t>
        </is>
      </c>
      <c r="K988">
        <f>HYPERLINK("http://gitlab.osmosys.co/incident-reporter/incident-reporter-angular-portal/-/merge_requests/3407#note_235604", "these repetitive lines of codes can be use at once")</f>
        <v/>
      </c>
      <c r="L988" t="inlineStr">
        <is>
          <t>2025-07-12 01:46:53.853 IST</t>
        </is>
      </c>
      <c r="M988" t="inlineStr">
        <is>
          <t>Soundariya B</t>
        </is>
      </c>
      <c r="N988" t="inlineStr">
        <is>
          <t>Yes</t>
        </is>
      </c>
      <c r="O988" t="inlineStr">
        <is>
          <t>Yes</t>
        </is>
      </c>
      <c r="P988" t="inlineStr">
        <is>
          <t>Soundariya B</t>
        </is>
      </c>
      <c r="Q988" t="inlineStr">
        <is>
          <t>Good</t>
        </is>
      </c>
    </row>
    <row r="989">
      <c r="A989" t="inlineStr">
        <is>
          <t>kulsrestha.j</t>
        </is>
      </c>
      <c r="B989" t="inlineStr">
        <is>
          <t>Kulsrestha Joshi</t>
        </is>
      </c>
      <c r="C989" t="inlineStr">
        <is>
          <t>kulsrestha.j@osmosys.co</t>
        </is>
      </c>
      <c r="D989" t="inlineStr">
        <is>
          <t>incident-reporter</t>
        </is>
      </c>
      <c r="E989">
        <f>HYPERLINK("http://gitlab.osmosys.co/incident-reporter/incident-reporter-angular-portal", "OQSHA Portal")</f>
        <v/>
      </c>
      <c r="F989">
        <f>HYPERLINK("http://gitlab.osmosys.co/incident-reporter/incident-reporter-angular-portal/-/merge_requests/3407", "feat: add department association to tickets")</f>
        <v/>
      </c>
      <c r="G989" t="inlineStr">
        <is>
          <t>feat/department-tickets</t>
        </is>
      </c>
      <c r="H989" t="inlineStr">
        <is>
          <t>sprint-17</t>
        </is>
      </c>
      <c r="I989" t="inlineStr">
        <is>
          <t>merged</t>
        </is>
      </c>
      <c r="J989" t="inlineStr">
        <is>
          <t>991c4505f62db9fe9320efb6f2401821b516054d</t>
        </is>
      </c>
      <c r="K989">
        <f>HYPERLINK("http://gitlab.osmosys.co/incident-reporter/incident-reporter-angular-portal/-/merge_requests/3407#note_235734", "Created a function and used it here")</f>
        <v/>
      </c>
      <c r="L989" t="inlineStr">
        <is>
          <t>2025-07-14 10:41:42.495 IST</t>
        </is>
      </c>
      <c r="M989" t="inlineStr">
        <is>
          <t>Kulsrestha Joshi</t>
        </is>
      </c>
      <c r="N989" t="inlineStr">
        <is>
          <t>No</t>
        </is>
      </c>
      <c r="O989" t="inlineStr">
        <is>
          <t>Yes</t>
        </is>
      </c>
      <c r="P989" t="inlineStr">
        <is>
          <t>Soundariya B</t>
        </is>
      </c>
      <c r="Q989" t="inlineStr">
        <is>
          <t>Good</t>
        </is>
      </c>
    </row>
    <row r="990">
      <c r="A990" t="inlineStr">
        <is>
          <t>kulsrestha.j</t>
        </is>
      </c>
      <c r="B990" t="inlineStr">
        <is>
          <t>Kulsrestha Joshi</t>
        </is>
      </c>
      <c r="C990" t="inlineStr">
        <is>
          <t>kulsrestha.j@osmosys.co</t>
        </is>
      </c>
      <c r="D990" t="inlineStr">
        <is>
          <t>incident-reporter</t>
        </is>
      </c>
      <c r="E990">
        <f>HYPERLINK("http://gitlab.osmosys.co/incident-reporter/incident-reporter-angular-portal", "OQSHA Portal")</f>
        <v/>
      </c>
      <c r="F990">
        <f>HYPERLINK("http://gitlab.osmosys.co/incident-reporter/incident-reporter-angular-portal/-/merge_requests/3407", "feat: add department association to tickets")</f>
        <v/>
      </c>
      <c r="G990" t="inlineStr">
        <is>
          <t>feat/department-tickets</t>
        </is>
      </c>
      <c r="H990" t="inlineStr">
        <is>
          <t>sprint-17</t>
        </is>
      </c>
      <c r="I990" t="inlineStr">
        <is>
          <t>merged</t>
        </is>
      </c>
      <c r="J990" t="inlineStr">
        <is>
          <t>3eefda811e067114bd9ffa8f43caeaee3d4d728b</t>
        </is>
      </c>
      <c r="K990">
        <f>HYPERLINK("http://gitlab.osmosys.co/incident-reporter/incident-reporter-angular-portal/-/merge_requests/3407#note_235605", "The function indentation is not good")</f>
        <v/>
      </c>
      <c r="L990" t="inlineStr">
        <is>
          <t>2025-07-12 01:46:53.910 IST</t>
        </is>
      </c>
      <c r="M990" t="inlineStr">
        <is>
          <t>Soundariya B</t>
        </is>
      </c>
      <c r="N990" t="inlineStr">
        <is>
          <t>Yes</t>
        </is>
      </c>
      <c r="O990" t="inlineStr">
        <is>
          <t>Yes</t>
        </is>
      </c>
      <c r="P990" t="inlineStr">
        <is>
          <t>Soundariya B</t>
        </is>
      </c>
      <c r="Q990" t="inlineStr">
        <is>
          <t>Bad</t>
        </is>
      </c>
    </row>
    <row r="991">
      <c r="A991" t="inlineStr">
        <is>
          <t>kulsrestha.j</t>
        </is>
      </c>
      <c r="B991" t="inlineStr">
        <is>
          <t>Kulsrestha Joshi</t>
        </is>
      </c>
      <c r="C991" t="inlineStr">
        <is>
          <t>kulsrestha.j@osmosys.co</t>
        </is>
      </c>
      <c r="D991" t="inlineStr">
        <is>
          <t>incident-reporter</t>
        </is>
      </c>
      <c r="E991">
        <f>HYPERLINK("http://gitlab.osmosys.co/incident-reporter/incident-reporter-angular-portal", "OQSHA Portal")</f>
        <v/>
      </c>
      <c r="F991">
        <f>HYPERLINK("http://gitlab.osmosys.co/incident-reporter/incident-reporter-angular-portal/-/merge_requests/3407", "feat: add department association to tickets")</f>
        <v/>
      </c>
      <c r="G991" t="inlineStr">
        <is>
          <t>feat/department-tickets</t>
        </is>
      </c>
      <c r="H991" t="inlineStr">
        <is>
          <t>sprint-17</t>
        </is>
      </c>
      <c r="I991" t="inlineStr">
        <is>
          <t>merged</t>
        </is>
      </c>
      <c r="J991" t="inlineStr">
        <is>
          <t>3eefda811e067114bd9ffa8f43caeaee3d4d728b</t>
        </is>
      </c>
      <c r="K991">
        <f>HYPERLINK("http://gitlab.osmosys.co/incident-reporter/incident-reporter-angular-portal/-/merge_requests/3407#note_235735", "I have prettier , this is formatted due to that , i can't change anything in this . In local the indentation seems to be fine 
![image](/uploads/f9aaa7fd879533b481fadc4d937b0a98/image.png){width=524 height=94}")</f>
        <v/>
      </c>
      <c r="L991" t="inlineStr">
        <is>
          <t>2025-07-14 10:43:08.427 IST</t>
        </is>
      </c>
      <c r="M991" t="inlineStr">
        <is>
          <t>Kulsrestha Joshi</t>
        </is>
      </c>
      <c r="N991" t="inlineStr">
        <is>
          <t>No</t>
        </is>
      </c>
      <c r="O991" t="inlineStr">
        <is>
          <t>Yes</t>
        </is>
      </c>
      <c r="P991" t="inlineStr">
        <is>
          <t>Soundariya B</t>
        </is>
      </c>
      <c r="Q991" t="inlineStr">
        <is>
          <t>Bad</t>
        </is>
      </c>
    </row>
    <row r="992">
      <c r="A992" t="inlineStr">
        <is>
          <t>kulsrestha.j</t>
        </is>
      </c>
      <c r="B992" t="inlineStr">
        <is>
          <t>Kulsrestha Joshi</t>
        </is>
      </c>
      <c r="C992" t="inlineStr">
        <is>
          <t>kulsrestha.j@osmosys.co</t>
        </is>
      </c>
      <c r="D992" t="inlineStr">
        <is>
          <t>incident-reporter</t>
        </is>
      </c>
      <c r="E992">
        <f>HYPERLINK("http://gitlab.osmosys.co/incident-reporter/incident-reporter-angular-portal", "OQSHA Portal")</f>
        <v/>
      </c>
      <c r="F992">
        <f>HYPERLINK("http://gitlab.osmosys.co/incident-reporter/incident-reporter-angular-portal/-/merge_requests/3407", "feat: add department association to tickets")</f>
        <v/>
      </c>
      <c r="G992" t="inlineStr">
        <is>
          <t>feat/department-tickets</t>
        </is>
      </c>
      <c r="H992" t="inlineStr">
        <is>
          <t>sprint-17</t>
        </is>
      </c>
      <c r="I992" t="inlineStr">
        <is>
          <t>merged</t>
        </is>
      </c>
      <c r="J992" t="inlineStr">
        <is>
          <t>3eefda811e067114bd9ffa8f43caeaee3d4d728b</t>
        </is>
      </c>
      <c r="K992">
        <f>HYPERLINK("http://gitlab.osmosys.co/incident-reporter/incident-reporter-angular-portal/-/merge_requests/3407#note_236052", "I said to fix this please check the indentation should look correct in the PR as well
![image.png](/uploads/6cfffe16349cf7ee1df17346ab4106c9/image.png)")</f>
        <v/>
      </c>
      <c r="L992" t="inlineStr">
        <is>
          <t>2025-07-14 14:22:52.191 IST</t>
        </is>
      </c>
      <c r="M992" t="inlineStr">
        <is>
          <t>Soundariya B</t>
        </is>
      </c>
      <c r="N992" t="inlineStr">
        <is>
          <t>Yes</t>
        </is>
      </c>
      <c r="O992" t="inlineStr">
        <is>
          <t>Yes</t>
        </is>
      </c>
      <c r="P992" t="inlineStr">
        <is>
          <t>Soundariya B</t>
        </is>
      </c>
      <c r="Q992" t="inlineStr">
        <is>
          <t>Bad</t>
        </is>
      </c>
    </row>
    <row r="993">
      <c r="A993" t="inlineStr">
        <is>
          <t>kulsrestha.j</t>
        </is>
      </c>
      <c r="B993" t="inlineStr">
        <is>
          <t>Kulsrestha Joshi</t>
        </is>
      </c>
      <c r="C993" t="inlineStr">
        <is>
          <t>kulsrestha.j@osmosys.co</t>
        </is>
      </c>
      <c r="D993" t="inlineStr">
        <is>
          <t>incident-reporter</t>
        </is>
      </c>
      <c r="E993">
        <f>HYPERLINK("http://gitlab.osmosys.co/incident-reporter/incident-reporter-angular-portal", "OQSHA Portal")</f>
        <v/>
      </c>
      <c r="F993">
        <f>HYPERLINK("http://gitlab.osmosys.co/incident-reporter/incident-reporter-angular-portal/-/merge_requests/3407", "feat: add department association to tickets")</f>
        <v/>
      </c>
      <c r="G993" t="inlineStr">
        <is>
          <t>feat/department-tickets</t>
        </is>
      </c>
      <c r="H993" t="inlineStr">
        <is>
          <t>sprint-17</t>
        </is>
      </c>
      <c r="I993" t="inlineStr">
        <is>
          <t>merged</t>
        </is>
      </c>
      <c r="J993" t="inlineStr">
        <is>
          <t>3eefda811e067114bd9ffa8f43caeaee3d4d728b</t>
        </is>
      </c>
      <c r="K993">
        <f>HYPERLINK("http://gitlab.osmosys.co/incident-reporter/incident-reporter-angular-portal/-/merge_requests/3407#note_236128", "There is nothing i can do, in local the indentation is perfect.
![image](/uploads/610cf8fe8a0619c7842d88ae2c7bd90c/image.png){width=516 height=162}")</f>
        <v/>
      </c>
      <c r="L993" t="inlineStr">
        <is>
          <t>2025-07-14 16:10:54.168 IST</t>
        </is>
      </c>
      <c r="M993" t="inlineStr">
        <is>
          <t>Kulsrestha Joshi</t>
        </is>
      </c>
      <c r="N993" t="inlineStr">
        <is>
          <t>No</t>
        </is>
      </c>
      <c r="O993" t="inlineStr">
        <is>
          <t>Yes</t>
        </is>
      </c>
      <c r="P993" t="inlineStr">
        <is>
          <t>Soundariya B</t>
        </is>
      </c>
      <c r="Q993" t="inlineStr">
        <is>
          <t>Bad</t>
        </is>
      </c>
    </row>
    <row r="994">
      <c r="A994" t="inlineStr">
        <is>
          <t>kulsrestha.j</t>
        </is>
      </c>
      <c r="B994" t="inlineStr">
        <is>
          <t>Kulsrestha Joshi</t>
        </is>
      </c>
      <c r="C994" t="inlineStr">
        <is>
          <t>kulsrestha.j@osmosys.co</t>
        </is>
      </c>
      <c r="D994" t="inlineStr">
        <is>
          <t>incident-reporter</t>
        </is>
      </c>
      <c r="E994">
        <f>HYPERLINK("http://gitlab.osmosys.co/incident-reporter/incident-reporter-angular-portal", "OQSHA Portal")</f>
        <v/>
      </c>
      <c r="F994">
        <f>HYPERLINK("http://gitlab.osmosys.co/incident-reporter/incident-reporter-angular-portal/-/merge_requests/3407", "feat: add department association to tickets")</f>
        <v/>
      </c>
      <c r="G994" t="inlineStr">
        <is>
          <t>feat/department-tickets</t>
        </is>
      </c>
      <c r="H994" t="inlineStr">
        <is>
          <t>sprint-17</t>
        </is>
      </c>
      <c r="I994" t="inlineStr">
        <is>
          <t>merged</t>
        </is>
      </c>
      <c r="J994" t="inlineStr">
        <is>
          <t>a523fbd51af4ea48d5c28295c7795bd85e543c28</t>
        </is>
      </c>
      <c r="K994">
        <f>HYPERLINK("http://gitlab.osmosys.co/incident-reporter/incident-reporter-angular-portal/-/merge_requests/3407#note_235606", "We don't anything related clinic in our app so the variable name should change")</f>
        <v/>
      </c>
      <c r="L994" t="inlineStr">
        <is>
          <t>2025-07-12 01:46:53.965 IST</t>
        </is>
      </c>
      <c r="M994" t="inlineStr">
        <is>
          <t>Soundariya B</t>
        </is>
      </c>
      <c r="N994" t="inlineStr">
        <is>
          <t>Yes</t>
        </is>
      </c>
      <c r="O994" t="inlineStr">
        <is>
          <t>Yes</t>
        </is>
      </c>
      <c r="P994" t="inlineStr">
        <is>
          <t>Soundariya B</t>
        </is>
      </c>
      <c r="Q994" t="inlineStr">
        <is>
          <t>Bad</t>
        </is>
      </c>
    </row>
    <row r="995">
      <c r="A995" t="inlineStr">
        <is>
          <t>kulsrestha.j</t>
        </is>
      </c>
      <c r="B995" t="inlineStr">
        <is>
          <t>Kulsrestha Joshi</t>
        </is>
      </c>
      <c r="C995" t="inlineStr">
        <is>
          <t>kulsrestha.j@osmosys.co</t>
        </is>
      </c>
      <c r="D995" t="inlineStr">
        <is>
          <t>incident-reporter</t>
        </is>
      </c>
      <c r="E995">
        <f>HYPERLINK("http://gitlab.osmosys.co/incident-reporter/incident-reporter-angular-portal", "OQSHA Portal")</f>
        <v/>
      </c>
      <c r="F995">
        <f>HYPERLINK("http://gitlab.osmosys.co/incident-reporter/incident-reporter-angular-portal/-/merge_requests/3407", "feat: add department association to tickets")</f>
        <v/>
      </c>
      <c r="G995" t="inlineStr">
        <is>
          <t>feat/department-tickets</t>
        </is>
      </c>
      <c r="H995" t="inlineStr">
        <is>
          <t>sprint-17</t>
        </is>
      </c>
      <c r="I995" t="inlineStr">
        <is>
          <t>merged</t>
        </is>
      </c>
      <c r="J995" t="inlineStr">
        <is>
          <t>a523fbd51af4ea48d5c28295c7795bd85e543c28</t>
        </is>
      </c>
      <c r="K995">
        <f>HYPERLINK("http://gitlab.osmosys.co/incident-reporter/incident-reporter-angular-portal/-/merge_requests/3407#note_235736", "I have not added this , this is being used here since a long time . This is used in a lot of places , can't touch is for now as there will be too many changes and can break anything, this needs a lot to time to check ,  investigation and testing . Can take a note of this can improve later .")</f>
        <v/>
      </c>
      <c r="L995" t="inlineStr">
        <is>
          <t>2025-07-14 10:45:34.043 IST</t>
        </is>
      </c>
      <c r="M995" t="inlineStr">
        <is>
          <t>Kulsrestha Joshi</t>
        </is>
      </c>
      <c r="N995" t="inlineStr">
        <is>
          <t>No</t>
        </is>
      </c>
      <c r="O995" t="inlineStr">
        <is>
          <t>Yes</t>
        </is>
      </c>
      <c r="P995" t="inlineStr">
        <is>
          <t>Soundariya B</t>
        </is>
      </c>
      <c r="Q995" t="inlineStr">
        <is>
          <t>Bad</t>
        </is>
      </c>
    </row>
    <row r="996">
      <c r="A996" t="inlineStr">
        <is>
          <t>kulsrestha.j</t>
        </is>
      </c>
      <c r="B996" t="inlineStr">
        <is>
          <t>Kulsrestha Joshi</t>
        </is>
      </c>
      <c r="C996" t="inlineStr">
        <is>
          <t>kulsrestha.j@osmosys.co</t>
        </is>
      </c>
      <c r="D996" t="inlineStr">
        <is>
          <t>incident-reporter</t>
        </is>
      </c>
      <c r="E996">
        <f>HYPERLINK("http://gitlab.osmosys.co/incident-reporter/incident-reporter-angular-portal", "OQSHA Portal")</f>
        <v/>
      </c>
      <c r="F996">
        <f>HYPERLINK("http://gitlab.osmosys.co/incident-reporter/incident-reporter-angular-portal/-/merge_requests/3407", "feat: add department association to tickets")</f>
        <v/>
      </c>
      <c r="G996" t="inlineStr">
        <is>
          <t>feat/department-tickets</t>
        </is>
      </c>
      <c r="H996" t="inlineStr">
        <is>
          <t>sprint-17</t>
        </is>
      </c>
      <c r="I996" t="inlineStr">
        <is>
          <t>merged</t>
        </is>
      </c>
      <c r="J996" t="inlineStr">
        <is>
          <t>a523fbd51af4ea48d5c28295c7795bd85e543c28</t>
        </is>
      </c>
      <c r="K996">
        <f>HYPERLINK("http://gitlab.osmosys.co/incident-reporter/incident-reporter-angular-portal/-/merge_requests/3407#note_236080", "Raj confirmed this please do this fix in the same PR or you can add this fix in different PR when giving for review next time of this task")</f>
        <v/>
      </c>
      <c r="L996" t="inlineStr">
        <is>
          <t>2025-07-14 15:14:49.822 IST</t>
        </is>
      </c>
      <c r="M996" t="inlineStr">
        <is>
          <t>Soundariya B</t>
        </is>
      </c>
      <c r="N996" t="inlineStr">
        <is>
          <t>Yes</t>
        </is>
      </c>
      <c r="O996" t="inlineStr">
        <is>
          <t>Yes</t>
        </is>
      </c>
      <c r="P996" t="inlineStr">
        <is>
          <t>Soundariya B</t>
        </is>
      </c>
      <c r="Q996" t="inlineStr">
        <is>
          <t>Bad</t>
        </is>
      </c>
    </row>
    <row r="997">
      <c r="A997" t="inlineStr">
        <is>
          <t>kulsrestha.j</t>
        </is>
      </c>
      <c r="B997" t="inlineStr">
        <is>
          <t>Kulsrestha Joshi</t>
        </is>
      </c>
      <c r="C997" t="inlineStr">
        <is>
          <t>kulsrestha.j@osmosys.co</t>
        </is>
      </c>
      <c r="D997" t="inlineStr">
        <is>
          <t>incident-reporter</t>
        </is>
      </c>
      <c r="E997">
        <f>HYPERLINK("http://gitlab.osmosys.co/incident-reporter/incident-reporter-angular-portal", "OQSHA Portal")</f>
        <v/>
      </c>
      <c r="F997">
        <f>HYPERLINK("http://gitlab.osmosys.co/incident-reporter/incident-reporter-angular-portal/-/merge_requests/3407", "feat: add department association to tickets")</f>
        <v/>
      </c>
      <c r="G997" t="inlineStr">
        <is>
          <t>feat/department-tickets</t>
        </is>
      </c>
      <c r="H997" t="inlineStr">
        <is>
          <t>sprint-17</t>
        </is>
      </c>
      <c r="I997" t="inlineStr">
        <is>
          <t>merged</t>
        </is>
      </c>
      <c r="J997" t="inlineStr">
        <is>
          <t>a523fbd51af4ea48d5c28295c7795bd85e543c28</t>
        </is>
      </c>
      <c r="K997">
        <f>HYPERLINK("http://gitlab.osmosys.co/incident-reporter/incident-reporter-angular-portal/-/merge_requests/3407#note_236130", "Updated")</f>
        <v/>
      </c>
      <c r="L997" t="inlineStr">
        <is>
          <t>2025-07-14 16:14:33.252 IST</t>
        </is>
      </c>
      <c r="M997" t="inlineStr">
        <is>
          <t>Kulsrestha Joshi</t>
        </is>
      </c>
      <c r="N997" t="inlineStr">
        <is>
          <t>No</t>
        </is>
      </c>
      <c r="O997" t="inlineStr">
        <is>
          <t>Yes</t>
        </is>
      </c>
      <c r="P997" t="inlineStr">
        <is>
          <t>Soundariya B</t>
        </is>
      </c>
      <c r="Q997" t="inlineStr">
        <is>
          <t>Bad</t>
        </is>
      </c>
    </row>
    <row r="998">
      <c r="A998" t="inlineStr">
        <is>
          <t>kulsrestha.j</t>
        </is>
      </c>
      <c r="B998" t="inlineStr">
        <is>
          <t>Kulsrestha Joshi</t>
        </is>
      </c>
      <c r="C998" t="inlineStr">
        <is>
          <t>kulsrestha.j@osmosys.co</t>
        </is>
      </c>
      <c r="D998" t="inlineStr">
        <is>
          <t>incident-reporter</t>
        </is>
      </c>
      <c r="E998">
        <f>HYPERLINK("http://gitlab.osmosys.co/incident-reporter/incident-reporter-angular-portal", "OQSHA Portal")</f>
        <v/>
      </c>
      <c r="F998">
        <f>HYPERLINK("http://gitlab.osmosys.co/incident-reporter/incident-reporter-angular-portal/-/merge_requests/3407", "feat: add department association to tickets")</f>
        <v/>
      </c>
      <c r="G998" t="inlineStr">
        <is>
          <t>feat/department-tickets</t>
        </is>
      </c>
      <c r="H998" t="inlineStr">
        <is>
          <t>sprint-17</t>
        </is>
      </c>
      <c r="I998" t="inlineStr">
        <is>
          <t>merged</t>
        </is>
      </c>
      <c r="J998" t="inlineStr">
        <is>
          <t>527f587424c937f1402b178e2e395bb49237a9cb</t>
        </is>
      </c>
      <c r="K998">
        <f>HYPERLINK("http://gitlab.osmosys.co/incident-reporter/incident-reporter-angular-portal/-/merge_requests/3407#note_235607", "We don't anything related clinic in our app so the variable name should change")</f>
        <v/>
      </c>
      <c r="L998" t="inlineStr">
        <is>
          <t>2025-07-12 01:46:54.028 IST</t>
        </is>
      </c>
      <c r="M998" t="inlineStr">
        <is>
          <t>Soundariya B</t>
        </is>
      </c>
      <c r="N998" t="inlineStr">
        <is>
          <t>Yes</t>
        </is>
      </c>
      <c r="O998" t="inlineStr">
        <is>
          <t>Yes</t>
        </is>
      </c>
      <c r="P998" t="inlineStr">
        <is>
          <t>Soundariya B</t>
        </is>
      </c>
      <c r="Q998" t="inlineStr">
        <is>
          <t>Bad</t>
        </is>
      </c>
    </row>
    <row r="999">
      <c r="A999" t="inlineStr">
        <is>
          <t>kulsrestha.j</t>
        </is>
      </c>
      <c r="B999" t="inlineStr">
        <is>
          <t>Kulsrestha Joshi</t>
        </is>
      </c>
      <c r="C999" t="inlineStr">
        <is>
          <t>kulsrestha.j@osmosys.co</t>
        </is>
      </c>
      <c r="D999" t="inlineStr">
        <is>
          <t>incident-reporter</t>
        </is>
      </c>
      <c r="E999">
        <f>HYPERLINK("http://gitlab.osmosys.co/incident-reporter/incident-reporter-angular-portal", "OQSHA Portal")</f>
        <v/>
      </c>
      <c r="F999">
        <f>HYPERLINK("http://gitlab.osmosys.co/incident-reporter/incident-reporter-angular-portal/-/merge_requests/3407", "feat: add department association to tickets")</f>
        <v/>
      </c>
      <c r="G999" t="inlineStr">
        <is>
          <t>feat/department-tickets</t>
        </is>
      </c>
      <c r="H999" t="inlineStr">
        <is>
          <t>sprint-17</t>
        </is>
      </c>
      <c r="I999" t="inlineStr">
        <is>
          <t>merged</t>
        </is>
      </c>
      <c r="J999" t="inlineStr">
        <is>
          <t>527f587424c937f1402b178e2e395bb49237a9cb</t>
        </is>
      </c>
      <c r="K999">
        <f>HYPERLINK("http://gitlab.osmosys.co/incident-reporter/incident-reporter-angular-portal/-/merge_requests/3407#note_235737", "I have not added this , this is being used here since a long time . This is used in a lot of places , can't touch is for now as there will be too many changes and can break anything, this needs a lot to time to check ,  investigation and testing . Can take a note of this can improve later .")</f>
        <v/>
      </c>
      <c r="L999" t="inlineStr">
        <is>
          <t>2025-07-14 10:45:40.553 IST</t>
        </is>
      </c>
      <c r="M999" t="inlineStr">
        <is>
          <t>Kulsrestha Joshi</t>
        </is>
      </c>
      <c r="N999" t="inlineStr">
        <is>
          <t>No</t>
        </is>
      </c>
      <c r="O999" t="inlineStr">
        <is>
          <t>Yes</t>
        </is>
      </c>
      <c r="P999" t="inlineStr">
        <is>
          <t>Soundariya B</t>
        </is>
      </c>
      <c r="Q999" t="inlineStr">
        <is>
          <t>Bad</t>
        </is>
      </c>
    </row>
    <row r="1000">
      <c r="A1000" t="inlineStr">
        <is>
          <t>kulsrestha.j</t>
        </is>
      </c>
      <c r="B1000" t="inlineStr">
        <is>
          <t>Kulsrestha Joshi</t>
        </is>
      </c>
      <c r="C1000" t="inlineStr">
        <is>
          <t>kulsrestha.j@osmosys.co</t>
        </is>
      </c>
      <c r="D1000" t="inlineStr">
        <is>
          <t>incident-reporter</t>
        </is>
      </c>
      <c r="E1000">
        <f>HYPERLINK("http://gitlab.osmosys.co/incident-reporter/incident-reporter-angular-portal", "OQSHA Portal")</f>
        <v/>
      </c>
      <c r="F1000">
        <f>HYPERLINK("http://gitlab.osmosys.co/incident-reporter/incident-reporter-angular-portal/-/merge_requests/3407", "feat: add department association to tickets")</f>
        <v/>
      </c>
      <c r="G1000" t="inlineStr">
        <is>
          <t>feat/department-tickets</t>
        </is>
      </c>
      <c r="H1000" t="inlineStr">
        <is>
          <t>sprint-17</t>
        </is>
      </c>
      <c r="I1000" t="inlineStr">
        <is>
          <t>merged</t>
        </is>
      </c>
      <c r="J1000" t="inlineStr">
        <is>
          <t>527f587424c937f1402b178e2e395bb49237a9cb</t>
        </is>
      </c>
      <c r="K1000">
        <f>HYPERLINK("http://gitlab.osmosys.co/incident-reporter/incident-reporter-angular-portal/-/merge_requests/3407#note_236081", "Raj confirmed this please do this fix in the same PR or you can add this fix in different PR when giving for review next time of this task")</f>
        <v/>
      </c>
      <c r="L1000" t="inlineStr">
        <is>
          <t>2025-07-14 15:15:15.294 IST</t>
        </is>
      </c>
      <c r="M1000" t="inlineStr">
        <is>
          <t>Soundariya B</t>
        </is>
      </c>
      <c r="N1000" t="inlineStr">
        <is>
          <t>Yes</t>
        </is>
      </c>
      <c r="O1000" t="inlineStr">
        <is>
          <t>Yes</t>
        </is>
      </c>
      <c r="P1000" t="inlineStr">
        <is>
          <t>Soundariya B</t>
        </is>
      </c>
      <c r="Q1000" t="inlineStr">
        <is>
          <t>Bad</t>
        </is>
      </c>
    </row>
    <row r="1001">
      <c r="A1001" t="inlineStr">
        <is>
          <t>kulsrestha.j</t>
        </is>
      </c>
      <c r="B1001" t="inlineStr">
        <is>
          <t>Kulsrestha Joshi</t>
        </is>
      </c>
      <c r="C1001" t="inlineStr">
        <is>
          <t>kulsrestha.j@osmosys.co</t>
        </is>
      </c>
      <c r="D1001" t="inlineStr">
        <is>
          <t>incident-reporter</t>
        </is>
      </c>
      <c r="E1001">
        <f>HYPERLINK("http://gitlab.osmosys.co/incident-reporter/incident-reporter-angular-portal", "OQSHA Portal")</f>
        <v/>
      </c>
      <c r="F1001">
        <f>HYPERLINK("http://gitlab.osmosys.co/incident-reporter/incident-reporter-angular-portal/-/merge_requests/3407", "feat: add department association to tickets")</f>
        <v/>
      </c>
      <c r="G1001" t="inlineStr">
        <is>
          <t>feat/department-tickets</t>
        </is>
      </c>
      <c r="H1001" t="inlineStr">
        <is>
          <t>sprint-17</t>
        </is>
      </c>
      <c r="I1001" t="inlineStr">
        <is>
          <t>merged</t>
        </is>
      </c>
      <c r="J1001" t="inlineStr">
        <is>
          <t>527f587424c937f1402b178e2e395bb49237a9cb</t>
        </is>
      </c>
      <c r="K1001">
        <f>HYPERLINK("http://gitlab.osmosys.co/incident-reporter/incident-reporter-angular-portal/-/merge_requests/3407#note_236131", "Updated")</f>
        <v/>
      </c>
      <c r="L1001" t="inlineStr">
        <is>
          <t>2025-07-14 16:14:37.069 IST</t>
        </is>
      </c>
      <c r="M1001" t="inlineStr">
        <is>
          <t>Kulsrestha Joshi</t>
        </is>
      </c>
      <c r="N1001" t="inlineStr">
        <is>
          <t>No</t>
        </is>
      </c>
      <c r="O1001" t="inlineStr">
        <is>
          <t>Yes</t>
        </is>
      </c>
      <c r="P1001" t="inlineStr">
        <is>
          <t>Soundariya B</t>
        </is>
      </c>
      <c r="Q1001" t="inlineStr">
        <is>
          <t>Bad</t>
        </is>
      </c>
    </row>
    <row r="1002">
      <c r="A1002" t="inlineStr">
        <is>
          <t>kulsrestha.j</t>
        </is>
      </c>
      <c r="B1002" t="inlineStr">
        <is>
          <t>Kulsrestha Joshi</t>
        </is>
      </c>
      <c r="C1002" t="inlineStr">
        <is>
          <t>kulsrestha.j@osmosys.co</t>
        </is>
      </c>
      <c r="D1002" t="inlineStr">
        <is>
          <t>incident-reporter</t>
        </is>
      </c>
      <c r="E1002">
        <f>HYPERLINK("http://gitlab.osmosys.co/incident-reporter/incident-reporter-angular-portal", "OQSHA Portal")</f>
        <v/>
      </c>
      <c r="F1002">
        <f>HYPERLINK("http://gitlab.osmosys.co/incident-reporter/incident-reporter-angular-portal/-/merge_requests/3407", "feat: add department association to tickets")</f>
        <v/>
      </c>
      <c r="G1002" t="inlineStr">
        <is>
          <t>feat/department-tickets</t>
        </is>
      </c>
      <c r="H1002" t="inlineStr">
        <is>
          <t>sprint-17</t>
        </is>
      </c>
      <c r="I1002" t="inlineStr">
        <is>
          <t>merged</t>
        </is>
      </c>
      <c r="J1002" t="inlineStr">
        <is>
          <t>ae0a2fdd9fcc6be67468fabd1609286bc2301e16</t>
        </is>
      </c>
      <c r="K1002">
        <f>HYPERLINK("http://gitlab.osmosys.co/incident-reporter/incident-reporter-angular-portal/-/merge_requests/3407#note_235608", "We don't anything related clinic in our app so the variable name should change")</f>
        <v/>
      </c>
      <c r="L1002" t="inlineStr">
        <is>
          <t>2025-07-12 01:46:54.091 IST</t>
        </is>
      </c>
      <c r="M1002" t="inlineStr">
        <is>
          <t>Soundariya B</t>
        </is>
      </c>
      <c r="N1002" t="inlineStr">
        <is>
          <t>Yes</t>
        </is>
      </c>
      <c r="O1002" t="inlineStr">
        <is>
          <t>Yes</t>
        </is>
      </c>
      <c r="P1002" t="inlineStr">
        <is>
          <t>Soundariya B</t>
        </is>
      </c>
      <c r="Q1002" t="inlineStr">
        <is>
          <t>Bad</t>
        </is>
      </c>
    </row>
    <row r="1003">
      <c r="A1003" t="inlineStr">
        <is>
          <t>kulsrestha.j</t>
        </is>
      </c>
      <c r="B1003" t="inlineStr">
        <is>
          <t>Kulsrestha Joshi</t>
        </is>
      </c>
      <c r="C1003" t="inlineStr">
        <is>
          <t>kulsrestha.j@osmosys.co</t>
        </is>
      </c>
      <c r="D1003" t="inlineStr">
        <is>
          <t>incident-reporter</t>
        </is>
      </c>
      <c r="E1003">
        <f>HYPERLINK("http://gitlab.osmosys.co/incident-reporter/incident-reporter-angular-portal", "OQSHA Portal")</f>
        <v/>
      </c>
      <c r="F1003">
        <f>HYPERLINK("http://gitlab.osmosys.co/incident-reporter/incident-reporter-angular-portal/-/merge_requests/3407", "feat: add department association to tickets")</f>
        <v/>
      </c>
      <c r="G1003" t="inlineStr">
        <is>
          <t>feat/department-tickets</t>
        </is>
      </c>
      <c r="H1003" t="inlineStr">
        <is>
          <t>sprint-17</t>
        </is>
      </c>
      <c r="I1003" t="inlineStr">
        <is>
          <t>merged</t>
        </is>
      </c>
      <c r="J1003" t="inlineStr">
        <is>
          <t>ae0a2fdd9fcc6be67468fabd1609286bc2301e16</t>
        </is>
      </c>
      <c r="K1003">
        <f>HYPERLINK("http://gitlab.osmosys.co/incident-reporter/incident-reporter-angular-portal/-/merge_requests/3407#note_235738", "I have not added this , this is being used here since a long time . This is used in a lot of places , can't touch is for now as there will be too many changes and can break anything, this needs a lot to time to check ,  investigation and testing . Can take a note of this can improve later .")</f>
        <v/>
      </c>
      <c r="L1003" t="inlineStr">
        <is>
          <t>2025-07-14 10:45:47.590 IST</t>
        </is>
      </c>
      <c r="M1003" t="inlineStr">
        <is>
          <t>Kulsrestha Joshi</t>
        </is>
      </c>
      <c r="N1003" t="inlineStr">
        <is>
          <t>No</t>
        </is>
      </c>
      <c r="O1003" t="inlineStr">
        <is>
          <t>Yes</t>
        </is>
      </c>
      <c r="P1003" t="inlineStr">
        <is>
          <t>Soundariya B</t>
        </is>
      </c>
      <c r="Q1003" t="inlineStr">
        <is>
          <t>Bad</t>
        </is>
      </c>
    </row>
    <row r="1004">
      <c r="A1004" t="inlineStr">
        <is>
          <t>kulsrestha.j</t>
        </is>
      </c>
      <c r="B1004" t="inlineStr">
        <is>
          <t>Kulsrestha Joshi</t>
        </is>
      </c>
      <c r="C1004" t="inlineStr">
        <is>
          <t>kulsrestha.j@osmosys.co</t>
        </is>
      </c>
      <c r="D1004" t="inlineStr">
        <is>
          <t>incident-reporter</t>
        </is>
      </c>
      <c r="E1004">
        <f>HYPERLINK("http://gitlab.osmosys.co/incident-reporter/incident-reporter-angular-portal", "OQSHA Portal")</f>
        <v/>
      </c>
      <c r="F1004">
        <f>HYPERLINK("http://gitlab.osmosys.co/incident-reporter/incident-reporter-angular-portal/-/merge_requests/3407", "feat: add department association to tickets")</f>
        <v/>
      </c>
      <c r="G1004" t="inlineStr">
        <is>
          <t>feat/department-tickets</t>
        </is>
      </c>
      <c r="H1004" t="inlineStr">
        <is>
          <t>sprint-17</t>
        </is>
      </c>
      <c r="I1004" t="inlineStr">
        <is>
          <t>merged</t>
        </is>
      </c>
      <c r="J1004" t="inlineStr">
        <is>
          <t>ae0a2fdd9fcc6be67468fabd1609286bc2301e16</t>
        </is>
      </c>
      <c r="K1004">
        <f>HYPERLINK("http://gitlab.osmosys.co/incident-reporter/incident-reporter-angular-portal/-/merge_requests/3407#note_236082", "Raj confirmed this please do this fix in the same PR or you can add this fix in different PR when giving for review next time of this task")</f>
        <v/>
      </c>
      <c r="L1004" t="inlineStr">
        <is>
          <t>2025-07-14 15:15:22.939 IST</t>
        </is>
      </c>
      <c r="M1004" t="inlineStr">
        <is>
          <t>Soundariya B</t>
        </is>
      </c>
      <c r="N1004" t="inlineStr">
        <is>
          <t>Yes</t>
        </is>
      </c>
      <c r="O1004" t="inlineStr">
        <is>
          <t>Yes</t>
        </is>
      </c>
      <c r="P1004" t="inlineStr">
        <is>
          <t>Soundariya B</t>
        </is>
      </c>
      <c r="Q1004" t="inlineStr">
        <is>
          <t>Bad</t>
        </is>
      </c>
    </row>
    <row r="1005">
      <c r="A1005" t="inlineStr">
        <is>
          <t>kulsrestha.j</t>
        </is>
      </c>
      <c r="B1005" t="inlineStr">
        <is>
          <t>Kulsrestha Joshi</t>
        </is>
      </c>
      <c r="C1005" t="inlineStr">
        <is>
          <t>kulsrestha.j@osmosys.co</t>
        </is>
      </c>
      <c r="D1005" t="inlineStr">
        <is>
          <t>incident-reporter</t>
        </is>
      </c>
      <c r="E1005">
        <f>HYPERLINK("http://gitlab.osmosys.co/incident-reporter/incident-reporter-angular-portal", "OQSHA Portal")</f>
        <v/>
      </c>
      <c r="F1005">
        <f>HYPERLINK("http://gitlab.osmosys.co/incident-reporter/incident-reporter-angular-portal/-/merge_requests/3407", "feat: add department association to tickets")</f>
        <v/>
      </c>
      <c r="G1005" t="inlineStr">
        <is>
          <t>feat/department-tickets</t>
        </is>
      </c>
      <c r="H1005" t="inlineStr">
        <is>
          <t>sprint-17</t>
        </is>
      </c>
      <c r="I1005" t="inlineStr">
        <is>
          <t>merged</t>
        </is>
      </c>
      <c r="J1005" t="inlineStr">
        <is>
          <t>ae0a2fdd9fcc6be67468fabd1609286bc2301e16</t>
        </is>
      </c>
      <c r="K1005">
        <f>HYPERLINK("http://gitlab.osmosys.co/incident-reporter/incident-reporter-angular-portal/-/merge_requests/3407#note_236132", "Updated")</f>
        <v/>
      </c>
      <c r="L1005" t="inlineStr">
        <is>
          <t>2025-07-14 16:14:45.915 IST</t>
        </is>
      </c>
      <c r="M1005" t="inlineStr">
        <is>
          <t>Kulsrestha Joshi</t>
        </is>
      </c>
      <c r="N1005" t="inlineStr">
        <is>
          <t>No</t>
        </is>
      </c>
      <c r="O1005" t="inlineStr">
        <is>
          <t>Yes</t>
        </is>
      </c>
      <c r="P1005" t="inlineStr">
        <is>
          <t>Soundariya B</t>
        </is>
      </c>
      <c r="Q1005" t="inlineStr">
        <is>
          <t>Bad</t>
        </is>
      </c>
    </row>
    <row r="1006">
      <c r="A1006" t="inlineStr">
        <is>
          <t>kulsrestha.j</t>
        </is>
      </c>
      <c r="B1006" t="inlineStr">
        <is>
          <t>Kulsrestha Joshi</t>
        </is>
      </c>
      <c r="C1006" t="inlineStr">
        <is>
          <t>kulsrestha.j@osmosys.co</t>
        </is>
      </c>
      <c r="D1006" t="inlineStr">
        <is>
          <t>incident-reporter</t>
        </is>
      </c>
      <c r="E1006">
        <f>HYPERLINK("http://gitlab.osmosys.co/incident-reporter/incident-reporter-angular-portal", "OQSHA Portal")</f>
        <v/>
      </c>
      <c r="F1006">
        <f>HYPERLINK("http://gitlab.osmosys.co/incident-reporter/incident-reporter-angular-portal/-/merge_requests/3407", "feat: add department association to tickets")</f>
        <v/>
      </c>
      <c r="G1006" t="inlineStr">
        <is>
          <t>feat/department-tickets</t>
        </is>
      </c>
      <c r="H1006" t="inlineStr">
        <is>
          <t>sprint-17</t>
        </is>
      </c>
      <c r="I1006" t="inlineStr">
        <is>
          <t>merged</t>
        </is>
      </c>
      <c r="J1006" t="inlineStr">
        <is>
          <t>dd83759e409506134946445daf3ee6a96d9d2a6d</t>
        </is>
      </c>
      <c r="K1006">
        <f>HYPERLINK("http://gitlab.osmosys.co/incident-reporter/incident-reporter-angular-portal/-/merge_requests/3407#note_235609", "It should be an incidentUserId")</f>
        <v/>
      </c>
      <c r="L1006" t="inlineStr">
        <is>
          <t>2025-07-12 01:46:54.146 IST</t>
        </is>
      </c>
      <c r="M1006" t="inlineStr">
        <is>
          <t>Soundariya B</t>
        </is>
      </c>
      <c r="N1006" t="inlineStr">
        <is>
          <t>Yes</t>
        </is>
      </c>
      <c r="O1006" t="inlineStr">
        <is>
          <t>Yes</t>
        </is>
      </c>
      <c r="P1006" t="inlineStr">
        <is>
          <t>Soundariya B</t>
        </is>
      </c>
      <c r="Q1006" t="inlineStr">
        <is>
          <t>Bad</t>
        </is>
      </c>
    </row>
    <row r="1007">
      <c r="A1007" t="inlineStr">
        <is>
          <t>kulsrestha.j</t>
        </is>
      </c>
      <c r="B1007" t="inlineStr">
        <is>
          <t>Kulsrestha Joshi</t>
        </is>
      </c>
      <c r="C1007" t="inlineStr">
        <is>
          <t>kulsrestha.j@osmosys.co</t>
        </is>
      </c>
      <c r="D1007" t="inlineStr">
        <is>
          <t>incident-reporter</t>
        </is>
      </c>
      <c r="E1007">
        <f>HYPERLINK("http://gitlab.osmosys.co/incident-reporter/incident-reporter-angular-portal", "OQSHA Portal")</f>
        <v/>
      </c>
      <c r="F1007">
        <f>HYPERLINK("http://gitlab.osmosys.co/incident-reporter/incident-reporter-angular-portal/-/merge_requests/3407", "feat: add department association to tickets")</f>
        <v/>
      </c>
      <c r="G1007" t="inlineStr">
        <is>
          <t>feat/department-tickets</t>
        </is>
      </c>
      <c r="H1007" t="inlineStr">
        <is>
          <t>sprint-17</t>
        </is>
      </c>
      <c r="I1007" t="inlineStr">
        <is>
          <t>merged</t>
        </is>
      </c>
      <c r="J1007" t="inlineStr">
        <is>
          <t>dd83759e409506134946445daf3ee6a96d9d2a6d</t>
        </is>
      </c>
      <c r="K1007">
        <f>HYPERLINK("http://gitlab.osmosys.co/incident-reporter/incident-reporter-angular-portal/-/merge_requests/3407#note_235740", "Not added by me , this is also used in many places , so needs proper investigation and testing .
This has been last modified 3yrs ago .
![image](/uploads/8f0fcd4a65b88589e36dfc9b31b10dd4/image.png){width=592 height=79}")</f>
        <v/>
      </c>
      <c r="L1007" t="inlineStr">
        <is>
          <t>2025-07-14 10:48:41.137 IST</t>
        </is>
      </c>
      <c r="M1007" t="inlineStr">
        <is>
          <t>Kulsrestha Joshi</t>
        </is>
      </c>
      <c r="N1007" t="inlineStr">
        <is>
          <t>No</t>
        </is>
      </c>
      <c r="O1007" t="inlineStr">
        <is>
          <t>Yes</t>
        </is>
      </c>
      <c r="P1007" t="inlineStr">
        <is>
          <t>Soundariya B</t>
        </is>
      </c>
      <c r="Q1007" t="inlineStr">
        <is>
          <t>Bad</t>
        </is>
      </c>
    </row>
    <row r="1008">
      <c r="A1008" t="inlineStr">
        <is>
          <t>kulsrestha.j</t>
        </is>
      </c>
      <c r="B1008" t="inlineStr">
        <is>
          <t>Kulsrestha Joshi</t>
        </is>
      </c>
      <c r="C1008" t="inlineStr">
        <is>
          <t>kulsrestha.j@osmosys.co</t>
        </is>
      </c>
      <c r="D1008" t="inlineStr">
        <is>
          <t>incident-reporter</t>
        </is>
      </c>
      <c r="E1008">
        <f>HYPERLINK("http://gitlab.osmosys.co/incident-reporter/incident-reporter-angular-portal", "OQSHA Portal")</f>
        <v/>
      </c>
      <c r="F1008">
        <f>HYPERLINK("http://gitlab.osmosys.co/incident-reporter/incident-reporter-angular-portal/-/merge_requests/3407", "feat: add department association to tickets")</f>
        <v/>
      </c>
      <c r="G1008" t="inlineStr">
        <is>
          <t>feat/department-tickets</t>
        </is>
      </c>
      <c r="H1008" t="inlineStr">
        <is>
          <t>sprint-17</t>
        </is>
      </c>
      <c r="I1008" t="inlineStr">
        <is>
          <t>merged</t>
        </is>
      </c>
      <c r="J1008" t="inlineStr">
        <is>
          <t>dd83759e409506134946445daf3ee6a96d9d2a6d</t>
        </is>
      </c>
      <c r="K1008">
        <f>HYPERLINK("http://gitlab.osmosys.co/incident-reporter/incident-reporter-angular-portal/-/merge_requests/3407#note_236038", "I said to check for let variable name not for property name")</f>
        <v/>
      </c>
      <c r="L1008" t="inlineStr">
        <is>
          <t>2025-07-14 14:21:08.198 IST</t>
        </is>
      </c>
      <c r="M1008" t="inlineStr">
        <is>
          <t>Soundariya B</t>
        </is>
      </c>
      <c r="N1008" t="inlineStr">
        <is>
          <t>Yes</t>
        </is>
      </c>
      <c r="O1008" t="inlineStr">
        <is>
          <t>Yes</t>
        </is>
      </c>
      <c r="P1008" t="inlineStr">
        <is>
          <t>Soundariya B</t>
        </is>
      </c>
      <c r="Q1008" t="inlineStr">
        <is>
          <t>Bad</t>
        </is>
      </c>
    </row>
    <row r="1009">
      <c r="A1009" t="inlineStr">
        <is>
          <t>kulsrestha.j</t>
        </is>
      </c>
      <c r="B1009" t="inlineStr">
        <is>
          <t>Kulsrestha Joshi</t>
        </is>
      </c>
      <c r="C1009" t="inlineStr">
        <is>
          <t>kulsrestha.j@osmosys.co</t>
        </is>
      </c>
      <c r="D1009" t="inlineStr">
        <is>
          <t>incident-reporter</t>
        </is>
      </c>
      <c r="E1009">
        <f>HYPERLINK("http://gitlab.osmosys.co/incident-reporter/incident-reporter-angular-portal", "OQSHA Portal")</f>
        <v/>
      </c>
      <c r="F1009">
        <f>HYPERLINK("http://gitlab.osmosys.co/incident-reporter/incident-reporter-angular-portal/-/merge_requests/3407", "feat: add department association to tickets")</f>
        <v/>
      </c>
      <c r="G1009" t="inlineStr">
        <is>
          <t>feat/department-tickets</t>
        </is>
      </c>
      <c r="H1009" t="inlineStr">
        <is>
          <t>sprint-17</t>
        </is>
      </c>
      <c r="I1009" t="inlineStr">
        <is>
          <t>merged</t>
        </is>
      </c>
      <c r="J1009" t="inlineStr">
        <is>
          <t>dd83759e409506134946445daf3ee6a96d9d2a6d</t>
        </is>
      </c>
      <c r="K1009">
        <f>HYPERLINK("http://gitlab.osmosys.co/incident-reporter/incident-reporter-angular-portal/-/merge_requests/3407#note_236160", "Updated")</f>
        <v/>
      </c>
      <c r="L1009" t="inlineStr">
        <is>
          <t>2025-07-14 16:28:40.524 IST</t>
        </is>
      </c>
      <c r="M1009" t="inlineStr">
        <is>
          <t>Kulsrestha Joshi</t>
        </is>
      </c>
      <c r="N1009" t="inlineStr">
        <is>
          <t>No</t>
        </is>
      </c>
      <c r="O1009" t="inlineStr">
        <is>
          <t>Yes</t>
        </is>
      </c>
      <c r="P1009" t="inlineStr">
        <is>
          <t>Soundariya B</t>
        </is>
      </c>
      <c r="Q1009" t="inlineStr">
        <is>
          <t>Bad</t>
        </is>
      </c>
    </row>
    <row r="1010">
      <c r="A1010" t="inlineStr">
        <is>
          <t>kulsrestha.j</t>
        </is>
      </c>
      <c r="B1010" t="inlineStr">
        <is>
          <t>Kulsrestha Joshi</t>
        </is>
      </c>
      <c r="C1010" t="inlineStr">
        <is>
          <t>kulsrestha.j@osmosys.co</t>
        </is>
      </c>
      <c r="D1010" t="inlineStr">
        <is>
          <t>incident-reporter</t>
        </is>
      </c>
      <c r="E1010">
        <f>HYPERLINK("http://gitlab.osmosys.co/incident-reporter/incident-reporter-angular-portal", "OQSHA Portal")</f>
        <v/>
      </c>
      <c r="F1010">
        <f>HYPERLINK("http://gitlab.osmosys.co/incident-reporter/incident-reporter-angular-portal/-/merge_requests/3407", "feat: add department association to tickets")</f>
        <v/>
      </c>
      <c r="G1010" t="inlineStr">
        <is>
          <t>feat/department-tickets</t>
        </is>
      </c>
      <c r="H1010" t="inlineStr">
        <is>
          <t>sprint-17</t>
        </is>
      </c>
      <c r="I1010" t="inlineStr">
        <is>
          <t>merged</t>
        </is>
      </c>
      <c r="J1010" t="inlineStr">
        <is>
          <t>ca4a3b5d739b5691fa30fd50d49046f2bc918a13</t>
        </is>
      </c>
      <c r="K1010">
        <f>HYPERLINK("http://gitlab.osmosys.co/incident-reporter/incident-reporter-angular-portal/-/merge_requests/3407#note_235610", "Why this variable used differently with underscore instead of camelcase?")</f>
        <v/>
      </c>
      <c r="L1010" t="inlineStr">
        <is>
          <t>2025-07-12 01:46:54.226 IST</t>
        </is>
      </c>
      <c r="M1010" t="inlineStr">
        <is>
          <t>Soundariya B</t>
        </is>
      </c>
      <c r="N1010" t="inlineStr">
        <is>
          <t>Yes</t>
        </is>
      </c>
      <c r="O1010" t="inlineStr">
        <is>
          <t>Yes</t>
        </is>
      </c>
      <c r="P1010" t="inlineStr">
        <is>
          <t>Soundariya B</t>
        </is>
      </c>
      <c r="Q1010" t="inlineStr">
        <is>
          <t>Bad</t>
        </is>
      </c>
    </row>
    <row r="1011">
      <c r="A1011" t="inlineStr">
        <is>
          <t>kulsrestha.j</t>
        </is>
      </c>
      <c r="B1011" t="inlineStr">
        <is>
          <t>Kulsrestha Joshi</t>
        </is>
      </c>
      <c r="C1011" t="inlineStr">
        <is>
          <t>kulsrestha.j@osmosys.co</t>
        </is>
      </c>
      <c r="D1011" t="inlineStr">
        <is>
          <t>incident-reporter</t>
        </is>
      </c>
      <c r="E1011">
        <f>HYPERLINK("http://gitlab.osmosys.co/incident-reporter/incident-reporter-angular-portal", "OQSHA Portal")</f>
        <v/>
      </c>
      <c r="F1011">
        <f>HYPERLINK("http://gitlab.osmosys.co/incident-reporter/incident-reporter-angular-portal/-/merge_requests/3407", "feat: add department association to tickets")</f>
        <v/>
      </c>
      <c r="G1011" t="inlineStr">
        <is>
          <t>feat/department-tickets</t>
        </is>
      </c>
      <c r="H1011" t="inlineStr">
        <is>
          <t>sprint-17</t>
        </is>
      </c>
      <c r="I1011" t="inlineStr">
        <is>
          <t>merged</t>
        </is>
      </c>
      <c r="J1011" t="inlineStr">
        <is>
          <t>ca4a3b5d739b5691fa30fd50d49046f2bc918a13</t>
        </is>
      </c>
      <c r="K1011">
        <f>HYPERLINK("http://gitlab.osmosys.co/incident-reporter/incident-reporter-angular-portal/-/merge_requests/3407#note_235742", "No idea , not added by me , it was there in the html so had to use the same .")</f>
        <v/>
      </c>
      <c r="L1011" t="inlineStr">
        <is>
          <t>2025-07-14 10:49:32.637 IST</t>
        </is>
      </c>
      <c r="M1011" t="inlineStr">
        <is>
          <t>Kulsrestha Joshi</t>
        </is>
      </c>
      <c r="N1011" t="inlineStr">
        <is>
          <t>No</t>
        </is>
      </c>
      <c r="O1011" t="inlineStr">
        <is>
          <t>Yes</t>
        </is>
      </c>
      <c r="P1011" t="inlineStr">
        <is>
          <t>Soundariya B</t>
        </is>
      </c>
      <c r="Q1011" t="inlineStr">
        <is>
          <t>Bad</t>
        </is>
      </c>
    </row>
    <row r="1012">
      <c r="A1012" t="inlineStr">
        <is>
          <t>kulsrestha.j</t>
        </is>
      </c>
      <c r="B1012" t="inlineStr">
        <is>
          <t>Kulsrestha Joshi</t>
        </is>
      </c>
      <c r="C1012" t="inlineStr">
        <is>
          <t>kulsrestha.j@osmosys.co</t>
        </is>
      </c>
      <c r="D1012" t="inlineStr">
        <is>
          <t>incident-reporter</t>
        </is>
      </c>
      <c r="E1012">
        <f>HYPERLINK("http://gitlab.osmosys.co/incident-reporter/incident-reporter-angular-portal", "OQSHA Portal")</f>
        <v/>
      </c>
      <c r="F1012">
        <f>HYPERLINK("http://gitlab.osmosys.co/incident-reporter/incident-reporter-angular-portal/-/merge_requests/3407", "feat: add department association to tickets")</f>
        <v/>
      </c>
      <c r="G1012" t="inlineStr">
        <is>
          <t>feat/department-tickets</t>
        </is>
      </c>
      <c r="H1012" t="inlineStr">
        <is>
          <t>sprint-17</t>
        </is>
      </c>
      <c r="I1012" t="inlineStr">
        <is>
          <t>merged</t>
        </is>
      </c>
      <c r="J1012" t="inlineStr">
        <is>
          <t>ca4a3b5d739b5691fa30fd50d49046f2bc918a13</t>
        </is>
      </c>
      <c r="K1012">
        <f>HYPERLINK("http://gitlab.osmosys.co/incident-reporter/incident-reporter-angular-portal/-/merge_requests/3407#note_236054", "You should correct it as its just a variable name and which is now in wrong convention.")</f>
        <v/>
      </c>
      <c r="L1012" t="inlineStr">
        <is>
          <t>2025-07-14 14:25:24.095 IST</t>
        </is>
      </c>
      <c r="M1012" t="inlineStr">
        <is>
          <t>Soundariya B</t>
        </is>
      </c>
      <c r="N1012" t="inlineStr">
        <is>
          <t>Yes</t>
        </is>
      </c>
      <c r="O1012" t="inlineStr">
        <is>
          <t>Yes</t>
        </is>
      </c>
      <c r="P1012" t="inlineStr">
        <is>
          <t>Soundariya B</t>
        </is>
      </c>
      <c r="Q1012" t="inlineStr">
        <is>
          <t>Bad</t>
        </is>
      </c>
    </row>
    <row r="1013">
      <c r="A1013" t="inlineStr">
        <is>
          <t>kulsrestha.j</t>
        </is>
      </c>
      <c r="B1013" t="inlineStr">
        <is>
          <t>Kulsrestha Joshi</t>
        </is>
      </c>
      <c r="C1013" t="inlineStr">
        <is>
          <t>kulsrestha.j@osmosys.co</t>
        </is>
      </c>
      <c r="D1013" t="inlineStr">
        <is>
          <t>incident-reporter</t>
        </is>
      </c>
      <c r="E1013">
        <f>HYPERLINK("http://gitlab.osmosys.co/incident-reporter/incident-reporter-angular-portal", "OQSHA Portal")</f>
        <v/>
      </c>
      <c r="F1013">
        <f>HYPERLINK("http://gitlab.osmosys.co/incident-reporter/incident-reporter-angular-portal/-/merge_requests/3407", "feat: add department association to tickets")</f>
        <v/>
      </c>
      <c r="G1013" t="inlineStr">
        <is>
          <t>feat/department-tickets</t>
        </is>
      </c>
      <c r="H1013" t="inlineStr">
        <is>
          <t>sprint-17</t>
        </is>
      </c>
      <c r="I1013" t="inlineStr">
        <is>
          <t>merged</t>
        </is>
      </c>
      <c r="J1013" t="inlineStr">
        <is>
          <t>ca4a3b5d739b5691fa30fd50d49046f2bc918a13</t>
        </is>
      </c>
      <c r="K1013">
        <f>HYPERLINK("http://gitlab.osmosys.co/incident-reporter/incident-reporter-angular-portal/-/merge_requests/3407#note_236136", "Updated")</f>
        <v/>
      </c>
      <c r="L1013" t="inlineStr">
        <is>
          <t>2025-07-14 16:19:37.715 IST</t>
        </is>
      </c>
      <c r="M1013" t="inlineStr">
        <is>
          <t>Kulsrestha Joshi</t>
        </is>
      </c>
      <c r="N1013" t="inlineStr">
        <is>
          <t>No</t>
        </is>
      </c>
      <c r="O1013" t="inlineStr">
        <is>
          <t>Yes</t>
        </is>
      </c>
      <c r="P1013" t="inlineStr">
        <is>
          <t>Soundariya B</t>
        </is>
      </c>
      <c r="Q1013" t="inlineStr">
        <is>
          <t>Bad</t>
        </is>
      </c>
    </row>
    <row r="1014">
      <c r="A1014" t="inlineStr">
        <is>
          <t>kulsrestha.j</t>
        </is>
      </c>
      <c r="B1014" t="inlineStr">
        <is>
          <t>Kulsrestha Joshi</t>
        </is>
      </c>
      <c r="C1014" t="inlineStr">
        <is>
          <t>kulsrestha.j@osmosys.co</t>
        </is>
      </c>
      <c r="D1014" t="inlineStr">
        <is>
          <t>incident-reporter</t>
        </is>
      </c>
      <c r="E1014">
        <f>HYPERLINK("http://gitlab.osmosys.co/incident-reporter/incident-reporter-angular-portal", "OQSHA Portal")</f>
        <v/>
      </c>
      <c r="F1014">
        <f>HYPERLINK("http://gitlab.osmosys.co/incident-reporter/incident-reporter-angular-portal/-/merge_requests/3407", "feat: add department association to tickets")</f>
        <v/>
      </c>
      <c r="G1014" t="inlineStr">
        <is>
          <t>feat/department-tickets</t>
        </is>
      </c>
      <c r="H1014" t="inlineStr">
        <is>
          <t>sprint-17</t>
        </is>
      </c>
      <c r="I1014" t="inlineStr">
        <is>
          <t>merged</t>
        </is>
      </c>
      <c r="J1014" t="inlineStr">
        <is>
          <t>d0c732e6d63b191dd93c76de1b6c27ff7c570a7e</t>
        </is>
      </c>
      <c r="K1014">
        <f>HYPERLINK("http://gitlab.osmosys.co/incident-reporter/incident-reporter-angular-portal/-/merge_requests/3407#note_235611", "What is id.id? please use meaningful variable names")</f>
        <v/>
      </c>
      <c r="L1014" t="inlineStr">
        <is>
          <t>2025-07-12 01:46:54.294 IST</t>
        </is>
      </c>
      <c r="M1014" t="inlineStr">
        <is>
          <t>Soundariya B</t>
        </is>
      </c>
      <c r="N1014" t="inlineStr">
        <is>
          <t>Yes</t>
        </is>
      </c>
      <c r="O1014" t="inlineStr">
        <is>
          <t>Yes</t>
        </is>
      </c>
      <c r="P1014" t="inlineStr">
        <is>
          <t>Soundariya B</t>
        </is>
      </c>
      <c r="Q1014" t="inlineStr">
        <is>
          <t>Bad</t>
        </is>
      </c>
    </row>
    <row r="1015">
      <c r="A1015" t="inlineStr">
        <is>
          <t>kulsrestha.j</t>
        </is>
      </c>
      <c r="B1015" t="inlineStr">
        <is>
          <t>Kulsrestha Joshi</t>
        </is>
      </c>
      <c r="C1015" t="inlineStr">
        <is>
          <t>kulsrestha.j@osmosys.co</t>
        </is>
      </c>
      <c r="D1015" t="inlineStr">
        <is>
          <t>incident-reporter</t>
        </is>
      </c>
      <c r="E1015">
        <f>HYPERLINK("http://gitlab.osmosys.co/incident-reporter/incident-reporter-angular-portal", "OQSHA Portal")</f>
        <v/>
      </c>
      <c r="F1015">
        <f>HYPERLINK("http://gitlab.osmosys.co/incident-reporter/incident-reporter-angular-portal/-/merge_requests/3407", "feat: add department association to tickets")</f>
        <v/>
      </c>
      <c r="G1015" t="inlineStr">
        <is>
          <t>feat/department-tickets</t>
        </is>
      </c>
      <c r="H1015" t="inlineStr">
        <is>
          <t>sprint-17</t>
        </is>
      </c>
      <c r="I1015" t="inlineStr">
        <is>
          <t>merged</t>
        </is>
      </c>
      <c r="J1015" t="inlineStr">
        <is>
          <t>d0c732e6d63b191dd93c76de1b6c27ff7c570a7e</t>
        </is>
      </c>
      <c r="K1015">
        <f>HYPERLINK("http://gitlab.osmosys.co/incident-reporter/incident-reporter-angular-portal/-/merge_requests/3407#note_235743", "Its just an iterator, used 'item' instead")</f>
        <v/>
      </c>
      <c r="L1015" t="inlineStr">
        <is>
          <t>2025-07-14 10:58:46.339 IST</t>
        </is>
      </c>
      <c r="M1015" t="inlineStr">
        <is>
          <t>Kulsrestha Joshi</t>
        </is>
      </c>
      <c r="N1015" t="inlineStr">
        <is>
          <t>No</t>
        </is>
      </c>
      <c r="O1015" t="inlineStr">
        <is>
          <t>Yes</t>
        </is>
      </c>
      <c r="P1015" t="inlineStr">
        <is>
          <t>Soundariya B</t>
        </is>
      </c>
      <c r="Q1015" t="inlineStr">
        <is>
          <t>Bad</t>
        </is>
      </c>
    </row>
    <row r="1016">
      <c r="A1016" t="inlineStr">
        <is>
          <t>kulsrestha.j</t>
        </is>
      </c>
      <c r="B1016" t="inlineStr">
        <is>
          <t>Kulsrestha Joshi</t>
        </is>
      </c>
      <c r="C1016" t="inlineStr">
        <is>
          <t>kulsrestha.j@osmosys.co</t>
        </is>
      </c>
      <c r="D1016" t="inlineStr">
        <is>
          <t>incident-reporter</t>
        </is>
      </c>
      <c r="E1016">
        <f>HYPERLINK("http://gitlab.osmosys.co/incident-reporter/incident-reporter-angular-portal", "OQSHA Portal")</f>
        <v/>
      </c>
      <c r="F1016">
        <f>HYPERLINK("http://gitlab.osmosys.co/incident-reporter/incident-reporter-angular-portal/-/merge_requests/3407", "feat: add department association to tickets")</f>
        <v/>
      </c>
      <c r="G1016" t="inlineStr">
        <is>
          <t>feat/department-tickets</t>
        </is>
      </c>
      <c r="H1016" t="inlineStr">
        <is>
          <t>sprint-17</t>
        </is>
      </c>
      <c r="I1016" t="inlineStr">
        <is>
          <t>merged</t>
        </is>
      </c>
      <c r="J1016" t="inlineStr">
        <is>
          <t>e32d4dfe592d388de7b5f16fbe79e3687781a4d1</t>
        </is>
      </c>
      <c r="K1016">
        <f>HYPERLINK("http://gitlab.osmosys.co/incident-reporter/incident-reporter-angular-portal/-/merge_requests/3407#note_235612", "Don't do all Business logic in ngOnInIt")</f>
        <v/>
      </c>
      <c r="L1016" t="inlineStr">
        <is>
          <t>2025-07-12 01:46:54.365 IST</t>
        </is>
      </c>
      <c r="M1016" t="inlineStr">
        <is>
          <t>Soundariya B</t>
        </is>
      </c>
      <c r="N1016" t="inlineStr">
        <is>
          <t>Yes</t>
        </is>
      </c>
      <c r="O1016" t="inlineStr">
        <is>
          <t>Yes</t>
        </is>
      </c>
      <c r="P1016" t="inlineStr">
        <is>
          <t>Soundariya B</t>
        </is>
      </c>
      <c r="Q1016" t="inlineStr">
        <is>
          <t>Bad</t>
        </is>
      </c>
    </row>
    <row r="1017">
      <c r="A1017" t="inlineStr">
        <is>
          <t>kulsrestha.j</t>
        </is>
      </c>
      <c r="B1017" t="inlineStr">
        <is>
          <t>Kulsrestha Joshi</t>
        </is>
      </c>
      <c r="C1017" t="inlineStr">
        <is>
          <t>kulsrestha.j@osmosys.co</t>
        </is>
      </c>
      <c r="D1017" t="inlineStr">
        <is>
          <t>incident-reporter</t>
        </is>
      </c>
      <c r="E1017">
        <f>HYPERLINK("http://gitlab.osmosys.co/incident-reporter/incident-reporter-angular-portal", "OQSHA Portal")</f>
        <v/>
      </c>
      <c r="F1017">
        <f>HYPERLINK("http://gitlab.osmosys.co/incident-reporter/incident-reporter-angular-portal/-/merge_requests/3407", "feat: add department association to tickets")</f>
        <v/>
      </c>
      <c r="G1017" t="inlineStr">
        <is>
          <t>feat/department-tickets</t>
        </is>
      </c>
      <c r="H1017" t="inlineStr">
        <is>
          <t>sprint-17</t>
        </is>
      </c>
      <c r="I1017" t="inlineStr">
        <is>
          <t>merged</t>
        </is>
      </c>
      <c r="J1017" t="inlineStr">
        <is>
          <t>e32d4dfe592d388de7b5f16fbe79e3687781a4d1</t>
        </is>
      </c>
      <c r="K1017">
        <f>HYPERLINK("http://gitlab.osmosys.co/incident-reporter/incident-reporter-angular-portal/-/merge_requests/3407#note_235748", "Updated")</f>
        <v/>
      </c>
      <c r="L1017" t="inlineStr">
        <is>
          <t>2025-07-14 11:04:35.182 IST</t>
        </is>
      </c>
      <c r="M1017" t="inlineStr">
        <is>
          <t>Kulsrestha Joshi</t>
        </is>
      </c>
      <c r="N1017" t="inlineStr">
        <is>
          <t>No</t>
        </is>
      </c>
      <c r="O1017" t="inlineStr">
        <is>
          <t>Yes</t>
        </is>
      </c>
      <c r="P1017" t="inlineStr">
        <is>
          <t>Soundariya B</t>
        </is>
      </c>
      <c r="Q1017" t="inlineStr">
        <is>
          <t>Bad</t>
        </is>
      </c>
    </row>
    <row r="1018">
      <c r="A1018" t="inlineStr">
        <is>
          <t>kulsrestha.j</t>
        </is>
      </c>
      <c r="B1018" t="inlineStr">
        <is>
          <t>Kulsrestha Joshi</t>
        </is>
      </c>
      <c r="C1018" t="inlineStr">
        <is>
          <t>kulsrestha.j@osmosys.co</t>
        </is>
      </c>
      <c r="D1018" t="inlineStr">
        <is>
          <t>incident-reporter</t>
        </is>
      </c>
      <c r="E1018">
        <f>HYPERLINK("http://gitlab.osmosys.co/incident-reporter/incident-reporter-angular-portal", "OQSHA Portal")</f>
        <v/>
      </c>
      <c r="F1018">
        <f>HYPERLINK("http://gitlab.osmosys.co/incident-reporter/incident-reporter-angular-portal/-/merge_requests/3407", "feat: add department association to tickets")</f>
        <v/>
      </c>
      <c r="G1018" t="inlineStr">
        <is>
          <t>feat/department-tickets</t>
        </is>
      </c>
      <c r="H1018" t="inlineStr">
        <is>
          <t>sprint-17</t>
        </is>
      </c>
      <c r="I1018" t="inlineStr">
        <is>
          <t>merged</t>
        </is>
      </c>
      <c r="J1018" t="inlineStr">
        <is>
          <t>c7bf6118c8a6698ea0909b79b2d83860bdef8f50</t>
        </is>
      </c>
      <c r="K1018">
        <f>HYPERLINK("http://gitlab.osmosys.co/incident-reporter/incident-reporter-angular-portal/-/merge_requests/3407#note_235613", "can you store incident filter preferences in one variable and use it where it is required")</f>
        <v/>
      </c>
      <c r="L1018" t="inlineStr">
        <is>
          <t>2025-07-12 01:46:54.439 IST</t>
        </is>
      </c>
      <c r="M1018" t="inlineStr">
        <is>
          <t>Soundariya B</t>
        </is>
      </c>
      <c r="N1018" t="inlineStr">
        <is>
          <t>Yes</t>
        </is>
      </c>
      <c r="O1018" t="inlineStr">
        <is>
          <t>Yes</t>
        </is>
      </c>
      <c r="P1018" t="inlineStr">
        <is>
          <t>Soundariya B</t>
        </is>
      </c>
      <c r="Q1018" t="inlineStr">
        <is>
          <t>Bad</t>
        </is>
      </c>
    </row>
    <row r="1019">
      <c r="A1019" t="inlineStr">
        <is>
          <t>kulsrestha.j</t>
        </is>
      </c>
      <c r="B1019" t="inlineStr">
        <is>
          <t>Kulsrestha Joshi</t>
        </is>
      </c>
      <c r="C1019" t="inlineStr">
        <is>
          <t>kulsrestha.j@osmosys.co</t>
        </is>
      </c>
      <c r="D1019" t="inlineStr">
        <is>
          <t>incident-reporter</t>
        </is>
      </c>
      <c r="E1019">
        <f>HYPERLINK("http://gitlab.osmosys.co/incident-reporter/incident-reporter-angular-portal", "OQSHA Portal")</f>
        <v/>
      </c>
      <c r="F1019">
        <f>HYPERLINK("http://gitlab.osmosys.co/incident-reporter/incident-reporter-angular-portal/-/merge_requests/3407", "feat: add department association to tickets")</f>
        <v/>
      </c>
      <c r="G1019" t="inlineStr">
        <is>
          <t>feat/department-tickets</t>
        </is>
      </c>
      <c r="H1019" t="inlineStr">
        <is>
          <t>sprint-17</t>
        </is>
      </c>
      <c r="I1019" t="inlineStr">
        <is>
          <t>merged</t>
        </is>
      </c>
      <c r="J1019" t="inlineStr">
        <is>
          <t>c7bf6118c8a6698ea0909b79b2d83860bdef8f50</t>
        </is>
      </c>
      <c r="K1019">
        <f>HYPERLINK("http://gitlab.osmosys.co/incident-reporter/incident-reporter-angular-portal/-/merge_requests/3407#note_235752", "The same is used in all the places after the reuseable components so can't change it for now , lot of changes are needed .")</f>
        <v/>
      </c>
      <c r="L1019" t="inlineStr">
        <is>
          <t>2025-07-14 11:06:33.389 IST</t>
        </is>
      </c>
      <c r="M1019" t="inlineStr">
        <is>
          <t>Kulsrestha Joshi</t>
        </is>
      </c>
      <c r="N1019" t="inlineStr">
        <is>
          <t>No</t>
        </is>
      </c>
      <c r="O1019" t="inlineStr">
        <is>
          <t>Yes</t>
        </is>
      </c>
      <c r="P1019" t="inlineStr">
        <is>
          <t>Soundariya B</t>
        </is>
      </c>
      <c r="Q1019" t="inlineStr">
        <is>
          <t>Bad</t>
        </is>
      </c>
    </row>
    <row r="1020">
      <c r="A1020" t="inlineStr">
        <is>
          <t>kulsrestha.j</t>
        </is>
      </c>
      <c r="B1020" t="inlineStr">
        <is>
          <t>Kulsrestha Joshi</t>
        </is>
      </c>
      <c r="C1020" t="inlineStr">
        <is>
          <t>kulsrestha.j@osmosys.co</t>
        </is>
      </c>
      <c r="D1020" t="inlineStr">
        <is>
          <t>incident-reporter</t>
        </is>
      </c>
      <c r="E1020">
        <f>HYPERLINK("http://gitlab.osmosys.co/incident-reporter/incident-reporter-angular-portal", "OQSHA Portal")</f>
        <v/>
      </c>
      <c r="F1020">
        <f>HYPERLINK("http://gitlab.osmosys.co/incident-reporter/incident-reporter-angular-portal/-/merge_requests/3407", "feat: add department association to tickets")</f>
        <v/>
      </c>
      <c r="G1020" t="inlineStr">
        <is>
          <t>feat/department-tickets</t>
        </is>
      </c>
      <c r="H1020" t="inlineStr">
        <is>
          <t>sprint-17</t>
        </is>
      </c>
      <c r="I1020" t="inlineStr">
        <is>
          <t>merged</t>
        </is>
      </c>
      <c r="J1020" t="inlineStr">
        <is>
          <t>c7bf6118c8a6698ea0909b79b2d83860bdef8f50</t>
        </is>
      </c>
      <c r="K1020">
        <f>HYPERLINK("http://gitlab.osmosys.co/incident-reporter/incident-reporter-angular-portal/-/merge_requests/3407#note_236057", "If you see that is using more than 1 place and also that is repeating, which is not recommended")</f>
        <v/>
      </c>
      <c r="L1020" t="inlineStr">
        <is>
          <t>2025-07-14 14:32:33.429 IST</t>
        </is>
      </c>
      <c r="M1020" t="inlineStr">
        <is>
          <t>Soundariya B</t>
        </is>
      </c>
      <c r="N1020" t="inlineStr">
        <is>
          <t>Yes</t>
        </is>
      </c>
      <c r="O1020" t="inlineStr">
        <is>
          <t>Yes</t>
        </is>
      </c>
      <c r="P1020" t="inlineStr">
        <is>
          <t>Soundariya B</t>
        </is>
      </c>
      <c r="Q1020" t="inlineStr">
        <is>
          <t>Bad</t>
        </is>
      </c>
    </row>
    <row r="1021">
      <c r="A1021" t="inlineStr">
        <is>
          <t>kulsrestha.j</t>
        </is>
      </c>
      <c r="B1021" t="inlineStr">
        <is>
          <t>Kulsrestha Joshi</t>
        </is>
      </c>
      <c r="C1021" t="inlineStr">
        <is>
          <t>kulsrestha.j@osmosys.co</t>
        </is>
      </c>
      <c r="D1021" t="inlineStr">
        <is>
          <t>incident-reporter</t>
        </is>
      </c>
      <c r="E1021">
        <f>HYPERLINK("http://gitlab.osmosys.co/incident-reporter/incident-reporter-angular-portal", "OQSHA Portal")</f>
        <v/>
      </c>
      <c r="F1021">
        <f>HYPERLINK("http://gitlab.osmosys.co/incident-reporter/incident-reporter-angular-portal/-/merge_requests/3407", "feat: add department association to tickets")</f>
        <v/>
      </c>
      <c r="G1021" t="inlineStr">
        <is>
          <t>feat/department-tickets</t>
        </is>
      </c>
      <c r="H1021" t="inlineStr">
        <is>
          <t>sprint-17</t>
        </is>
      </c>
      <c r="I1021" t="inlineStr">
        <is>
          <t>merged</t>
        </is>
      </c>
      <c r="J1021" t="inlineStr">
        <is>
          <t>c7bf6118c8a6698ea0909b79b2d83860bdef8f50</t>
        </is>
      </c>
      <c r="K1021">
        <f>HYPERLINK("http://gitlab.osmosys.co/incident-reporter/incident-reporter-angular-portal/-/merge_requests/3407#note_236196", "Used a single constant to store the filter preferences")</f>
        <v/>
      </c>
      <c r="L1021" t="inlineStr">
        <is>
          <t>2025-07-14 16:38:47.186 IST</t>
        </is>
      </c>
      <c r="M1021" t="inlineStr">
        <is>
          <t>Kulsrestha Joshi</t>
        </is>
      </c>
      <c r="N1021" t="inlineStr">
        <is>
          <t>No</t>
        </is>
      </c>
      <c r="O1021" t="inlineStr">
        <is>
          <t>Yes</t>
        </is>
      </c>
      <c r="P1021" t="inlineStr">
        <is>
          <t>Soundariya B</t>
        </is>
      </c>
      <c r="Q1021" t="inlineStr">
        <is>
          <t>Bad</t>
        </is>
      </c>
    </row>
    <row r="1022">
      <c r="A1022" t="inlineStr">
        <is>
          <t>kulsrestha.j</t>
        </is>
      </c>
      <c r="B1022" t="inlineStr">
        <is>
          <t>Kulsrestha Joshi</t>
        </is>
      </c>
      <c r="C1022" t="inlineStr">
        <is>
          <t>kulsrestha.j@osmosys.co</t>
        </is>
      </c>
      <c r="D1022" t="inlineStr">
        <is>
          <t>incident-reporter</t>
        </is>
      </c>
      <c r="E1022">
        <f>HYPERLINK("http://gitlab.osmosys.co/incident-reporter/incident-reporter-angular-portal", "OQSHA Portal")</f>
        <v/>
      </c>
      <c r="F1022">
        <f>HYPERLINK("http://gitlab.osmosys.co/incident-reporter/incident-reporter-angular-portal/-/merge_requests/3407", "feat: add department association to tickets")</f>
        <v/>
      </c>
      <c r="G1022" t="inlineStr">
        <is>
          <t>feat/department-tickets</t>
        </is>
      </c>
      <c r="H1022" t="inlineStr">
        <is>
          <t>sprint-17</t>
        </is>
      </c>
      <c r="I1022" t="inlineStr">
        <is>
          <t>merged</t>
        </is>
      </c>
      <c r="J1022" t="inlineStr">
        <is>
          <t>4e2cdd86d3bab3ebee6adf057edd06390fdee78a</t>
        </is>
      </c>
      <c r="K1022">
        <f>HYPERLINK("http://gitlab.osmosys.co/incident-reporter/incident-reporter-angular-portal/-/merge_requests/3407#note_235614", "Can you add some comments to understand the code, actually, with the confusing parts and all things that are done in one piece")</f>
        <v/>
      </c>
      <c r="L1022" t="inlineStr">
        <is>
          <t>2025-07-12 01:46:54.526 IST</t>
        </is>
      </c>
      <c r="M1022" t="inlineStr">
        <is>
          <t>Soundariya B</t>
        </is>
      </c>
      <c r="N1022" t="inlineStr">
        <is>
          <t>Yes</t>
        </is>
      </c>
      <c r="O1022" t="inlineStr">
        <is>
          <t>Yes</t>
        </is>
      </c>
      <c r="P1022" t="inlineStr">
        <is>
          <t>Soundariya B</t>
        </is>
      </c>
      <c r="Q1022" t="inlineStr">
        <is>
          <t>Bad</t>
        </is>
      </c>
    </row>
    <row r="1023">
      <c r="A1023" t="inlineStr">
        <is>
          <t>kulsrestha.j</t>
        </is>
      </c>
      <c r="B1023" t="inlineStr">
        <is>
          <t>Kulsrestha Joshi</t>
        </is>
      </c>
      <c r="C1023" t="inlineStr">
        <is>
          <t>kulsrestha.j@osmosys.co</t>
        </is>
      </c>
      <c r="D1023" t="inlineStr">
        <is>
          <t>incident-reporter</t>
        </is>
      </c>
      <c r="E1023">
        <f>HYPERLINK("http://gitlab.osmosys.co/incident-reporter/incident-reporter-angular-portal", "OQSHA Portal")</f>
        <v/>
      </c>
      <c r="F1023">
        <f>HYPERLINK("http://gitlab.osmosys.co/incident-reporter/incident-reporter-angular-portal/-/merge_requests/3407", "feat: add department association to tickets")</f>
        <v/>
      </c>
      <c r="G1023" t="inlineStr">
        <is>
          <t>feat/department-tickets</t>
        </is>
      </c>
      <c r="H1023" t="inlineStr">
        <is>
          <t>sprint-17</t>
        </is>
      </c>
      <c r="I1023" t="inlineStr">
        <is>
          <t>merged</t>
        </is>
      </c>
      <c r="J1023" t="inlineStr">
        <is>
          <t>4e2cdd86d3bab3ebee6adf057edd06390fdee78a</t>
        </is>
      </c>
      <c r="K1023">
        <f>HYPERLINK("http://gitlab.osmosys.co/incident-reporter/incident-reporter-angular-portal/-/merge_requests/3407#note_235754", "Added")</f>
        <v/>
      </c>
      <c r="L1023" t="inlineStr">
        <is>
          <t>2025-07-14 11:08:37.620 IST</t>
        </is>
      </c>
      <c r="M1023" t="inlineStr">
        <is>
          <t>Kulsrestha Joshi</t>
        </is>
      </c>
      <c r="N1023" t="inlineStr">
        <is>
          <t>No</t>
        </is>
      </c>
      <c r="O1023" t="inlineStr">
        <is>
          <t>Yes</t>
        </is>
      </c>
      <c r="P1023" t="inlineStr">
        <is>
          <t>Soundariya B</t>
        </is>
      </c>
      <c r="Q1023" t="inlineStr">
        <is>
          <t>Bad</t>
        </is>
      </c>
    </row>
    <row r="1024">
      <c r="A1024" t="inlineStr">
        <is>
          <t>kulsrestha.j</t>
        </is>
      </c>
      <c r="B1024" t="inlineStr">
        <is>
          <t>Kulsrestha Joshi</t>
        </is>
      </c>
      <c r="C1024" t="inlineStr">
        <is>
          <t>kulsrestha.j@osmosys.co</t>
        </is>
      </c>
      <c r="D1024" t="inlineStr">
        <is>
          <t>incident-reporter</t>
        </is>
      </c>
      <c r="E1024">
        <f>HYPERLINK("http://gitlab.osmosys.co/incident-reporter/incident-reporter-angular-portal", "OQSHA Portal")</f>
        <v/>
      </c>
      <c r="F1024">
        <f>HYPERLINK("http://gitlab.osmosys.co/incident-reporter/incident-reporter-angular-portal/-/merge_requests/3407", "feat: add department association to tickets")</f>
        <v/>
      </c>
      <c r="G1024" t="inlineStr">
        <is>
          <t>feat/department-tickets</t>
        </is>
      </c>
      <c r="H1024" t="inlineStr">
        <is>
          <t>sprint-17</t>
        </is>
      </c>
      <c r="I1024" t="inlineStr">
        <is>
          <t>merged</t>
        </is>
      </c>
      <c r="J1024" t="inlineStr">
        <is>
          <t>e3fe347d0192effef5c0af444afd6a170251bd06</t>
        </is>
      </c>
      <c r="K1024">
        <f>HYPERLINK("http://gitlab.osmosys.co/incident-reporter/incident-reporter-angular-portal/-/merge_requests/3407#note_235615", "Can you take a user word from the language files")</f>
        <v/>
      </c>
      <c r="L1024" t="inlineStr">
        <is>
          <t>2025-07-12 01:46:54.606 IST</t>
        </is>
      </c>
      <c r="M1024" t="inlineStr">
        <is>
          <t>Soundariya B</t>
        </is>
      </c>
      <c r="N1024" t="inlineStr">
        <is>
          <t>Yes</t>
        </is>
      </c>
      <c r="O1024" t="inlineStr">
        <is>
          <t>Yes</t>
        </is>
      </c>
      <c r="P1024" t="inlineStr">
        <is>
          <t>Soundariya B</t>
        </is>
      </c>
      <c r="Q1024" t="inlineStr">
        <is>
          <t>Bad</t>
        </is>
      </c>
    </row>
    <row r="1025">
      <c r="A1025" t="inlineStr">
        <is>
          <t>kulsrestha.j</t>
        </is>
      </c>
      <c r="B1025" t="inlineStr">
        <is>
          <t>Kulsrestha Joshi</t>
        </is>
      </c>
      <c r="C1025" t="inlineStr">
        <is>
          <t>kulsrestha.j@osmosys.co</t>
        </is>
      </c>
      <c r="D1025" t="inlineStr">
        <is>
          <t>incident-reporter</t>
        </is>
      </c>
      <c r="E1025">
        <f>HYPERLINK("http://gitlab.osmosys.co/incident-reporter/incident-reporter-angular-portal", "OQSHA Portal")</f>
        <v/>
      </c>
      <c r="F1025">
        <f>HYPERLINK("http://gitlab.osmosys.co/incident-reporter/incident-reporter-angular-portal/-/merge_requests/3407", "feat: add department association to tickets")</f>
        <v/>
      </c>
      <c r="G1025" t="inlineStr">
        <is>
          <t>feat/department-tickets</t>
        </is>
      </c>
      <c r="H1025" t="inlineStr">
        <is>
          <t>sprint-17</t>
        </is>
      </c>
      <c r="I1025" t="inlineStr">
        <is>
          <t>merged</t>
        </is>
      </c>
      <c r="J1025" t="inlineStr">
        <is>
          <t>e3fe347d0192effef5c0af444afd6a170251bd06</t>
        </is>
      </c>
      <c r="K1025">
        <f>HYPERLINK("http://gitlab.osmosys.co/incident-reporter/incident-reporter-angular-portal/-/merge_requests/3407#note_235755", "Updated")</f>
        <v/>
      </c>
      <c r="L1025" t="inlineStr">
        <is>
          <t>2025-07-14 11:08:52.463 IST</t>
        </is>
      </c>
      <c r="M1025" t="inlineStr">
        <is>
          <t>Kulsrestha Joshi</t>
        </is>
      </c>
      <c r="N1025" t="inlineStr">
        <is>
          <t>No</t>
        </is>
      </c>
      <c r="O1025" t="inlineStr">
        <is>
          <t>Yes</t>
        </is>
      </c>
      <c r="P1025" t="inlineStr">
        <is>
          <t>Soundariya B</t>
        </is>
      </c>
      <c r="Q1025" t="inlineStr">
        <is>
          <t>Bad</t>
        </is>
      </c>
    </row>
    <row r="1026">
      <c r="A1026" t="inlineStr">
        <is>
          <t>kulsrestha.j</t>
        </is>
      </c>
      <c r="B1026" t="inlineStr">
        <is>
          <t>Kulsrestha Joshi</t>
        </is>
      </c>
      <c r="C1026" t="inlineStr">
        <is>
          <t>kulsrestha.j@osmosys.co</t>
        </is>
      </c>
      <c r="D1026" t="inlineStr">
        <is>
          <t>incident-reporter</t>
        </is>
      </c>
      <c r="E1026">
        <f>HYPERLINK("http://gitlab.osmosys.co/incident-reporter/incident-reporter-angular-portal", "OQSHA Portal")</f>
        <v/>
      </c>
      <c r="F1026">
        <f>HYPERLINK("http://gitlab.osmosys.co/incident-reporter/incident-reporter-angular-portal/-/merge_requests/3407", "feat: add department association to tickets")</f>
        <v/>
      </c>
      <c r="G1026" t="inlineStr">
        <is>
          <t>feat/department-tickets</t>
        </is>
      </c>
      <c r="H1026" t="inlineStr">
        <is>
          <t>sprint-17</t>
        </is>
      </c>
      <c r="I1026" t="inlineStr">
        <is>
          <t>merged</t>
        </is>
      </c>
      <c r="J1026" t="inlineStr">
        <is>
          <t>33d3a62e3901975b15957e35405457b9ceb43c8a</t>
        </is>
      </c>
      <c r="K1026">
        <f>HYPERLINK("http://gitlab.osmosys.co/incident-reporter/incident-reporter-angular-portal/-/merge_requests/3407#note_235616", "Please use the meaningful variable")</f>
        <v/>
      </c>
      <c r="L1026" t="inlineStr">
        <is>
          <t>2025-07-12 01:46:54.683 IST</t>
        </is>
      </c>
      <c r="M1026" t="inlineStr">
        <is>
          <t>Soundariya B</t>
        </is>
      </c>
      <c r="N1026" t="inlineStr">
        <is>
          <t>Yes</t>
        </is>
      </c>
      <c r="O1026" t="inlineStr">
        <is>
          <t>Yes</t>
        </is>
      </c>
      <c r="P1026" t="inlineStr">
        <is>
          <t>Soundariya B</t>
        </is>
      </c>
      <c r="Q1026" t="inlineStr">
        <is>
          <t>Bad</t>
        </is>
      </c>
    </row>
    <row r="1027">
      <c r="A1027" t="inlineStr">
        <is>
          <t>kulsrestha.j</t>
        </is>
      </c>
      <c r="B1027" t="inlineStr">
        <is>
          <t>Kulsrestha Joshi</t>
        </is>
      </c>
      <c r="C1027" t="inlineStr">
        <is>
          <t>kulsrestha.j@osmosys.co</t>
        </is>
      </c>
      <c r="D1027" t="inlineStr">
        <is>
          <t>incident-reporter</t>
        </is>
      </c>
      <c r="E1027">
        <f>HYPERLINK("http://gitlab.osmosys.co/incident-reporter/incident-reporter-angular-portal", "OQSHA Portal")</f>
        <v/>
      </c>
      <c r="F1027">
        <f>HYPERLINK("http://gitlab.osmosys.co/incident-reporter/incident-reporter-angular-portal/-/merge_requests/3407", "feat: add department association to tickets")</f>
        <v/>
      </c>
      <c r="G1027" t="inlineStr">
        <is>
          <t>feat/department-tickets</t>
        </is>
      </c>
      <c r="H1027" t="inlineStr">
        <is>
          <t>sprint-17</t>
        </is>
      </c>
      <c r="I1027" t="inlineStr">
        <is>
          <t>merged</t>
        </is>
      </c>
      <c r="J1027" t="inlineStr">
        <is>
          <t>33d3a62e3901975b15957e35405457b9ceb43c8a</t>
        </is>
      </c>
      <c r="K1027">
        <f>HYPERLINK("http://gitlab.osmosys.co/incident-reporter/incident-reporter-angular-portal/-/merge_requests/3407#note_235756", "Used")</f>
        <v/>
      </c>
      <c r="L1027" t="inlineStr">
        <is>
          <t>2025-07-14 11:10:13.116 IST</t>
        </is>
      </c>
      <c r="M1027" t="inlineStr">
        <is>
          <t>Kulsrestha Joshi</t>
        </is>
      </c>
      <c r="N1027" t="inlineStr">
        <is>
          <t>No</t>
        </is>
      </c>
      <c r="O1027" t="inlineStr">
        <is>
          <t>Yes</t>
        </is>
      </c>
      <c r="P1027" t="inlineStr">
        <is>
          <t>Soundariya B</t>
        </is>
      </c>
      <c r="Q1027" t="inlineStr">
        <is>
          <t>Bad</t>
        </is>
      </c>
    </row>
    <row r="1028">
      <c r="A1028" t="inlineStr">
        <is>
          <t>kulsrestha.j</t>
        </is>
      </c>
      <c r="B1028" t="inlineStr">
        <is>
          <t>Kulsrestha Joshi</t>
        </is>
      </c>
      <c r="C1028" t="inlineStr">
        <is>
          <t>kulsrestha.j@osmosys.co</t>
        </is>
      </c>
      <c r="D1028" t="inlineStr">
        <is>
          <t>incident-reporter</t>
        </is>
      </c>
      <c r="E1028">
        <f>HYPERLINK("http://gitlab.osmosys.co/incident-reporter/incident-reporter-angular-portal", "OQSHA Portal")</f>
        <v/>
      </c>
      <c r="F1028">
        <f>HYPERLINK("http://gitlab.osmosys.co/incident-reporter/incident-reporter-angular-portal/-/merge_requests/3407", "feat: add department association to tickets")</f>
        <v/>
      </c>
      <c r="G1028" t="inlineStr">
        <is>
          <t>feat/department-tickets</t>
        </is>
      </c>
      <c r="H1028" t="inlineStr">
        <is>
          <t>sprint-17</t>
        </is>
      </c>
      <c r="I1028" t="inlineStr">
        <is>
          <t>merged</t>
        </is>
      </c>
      <c r="J1028" t="inlineStr">
        <is>
          <t>4ee9bad9819dda1c943fbcfcb723314c2c87b61a</t>
        </is>
      </c>
      <c r="K1028">
        <f>HYPERLINK("http://gitlab.osmosys.co/incident-reporter/incident-reporter-angular-portal/-/merge_requests/3407#note_235617", "Same here")</f>
        <v/>
      </c>
      <c r="L1028" t="inlineStr">
        <is>
          <t>2025-07-12 01:46:54.758 IST</t>
        </is>
      </c>
      <c r="M1028" t="inlineStr">
        <is>
          <t>Soundariya B</t>
        </is>
      </c>
      <c r="N1028" t="inlineStr">
        <is>
          <t>Yes</t>
        </is>
      </c>
      <c r="O1028" t="inlineStr">
        <is>
          <t>Yes</t>
        </is>
      </c>
      <c r="P1028" t="inlineStr">
        <is>
          <t>Soundariya B</t>
        </is>
      </c>
      <c r="Q1028" t="inlineStr">
        <is>
          <t>Neutral</t>
        </is>
      </c>
    </row>
    <row r="1029">
      <c r="A1029" t="inlineStr">
        <is>
          <t>kulsrestha.j</t>
        </is>
      </c>
      <c r="B1029" t="inlineStr">
        <is>
          <t>Kulsrestha Joshi</t>
        </is>
      </c>
      <c r="C1029" t="inlineStr">
        <is>
          <t>kulsrestha.j@osmosys.co</t>
        </is>
      </c>
      <c r="D1029" t="inlineStr">
        <is>
          <t>incident-reporter</t>
        </is>
      </c>
      <c r="E1029">
        <f>HYPERLINK("http://gitlab.osmosys.co/incident-reporter/incident-reporter-angular-portal", "OQSHA Portal")</f>
        <v/>
      </c>
      <c r="F1029">
        <f>HYPERLINK("http://gitlab.osmosys.co/incident-reporter/incident-reporter-angular-portal/-/merge_requests/3407", "feat: add department association to tickets")</f>
        <v/>
      </c>
      <c r="G1029" t="inlineStr">
        <is>
          <t>feat/department-tickets</t>
        </is>
      </c>
      <c r="H1029" t="inlineStr">
        <is>
          <t>sprint-17</t>
        </is>
      </c>
      <c r="I1029" t="inlineStr">
        <is>
          <t>merged</t>
        </is>
      </c>
      <c r="J1029" t="inlineStr">
        <is>
          <t>4ee9bad9819dda1c943fbcfcb723314c2c87b61a</t>
        </is>
      </c>
      <c r="K1029">
        <f>HYPERLINK("http://gitlab.osmosys.co/incident-reporter/incident-reporter-angular-portal/-/merge_requests/3407#note_235834", "taken from constants")</f>
        <v/>
      </c>
      <c r="L1029" t="inlineStr">
        <is>
          <t>2025-07-14 12:18:41.141 IST</t>
        </is>
      </c>
      <c r="M1029" t="inlineStr">
        <is>
          <t>Kulsrestha Joshi</t>
        </is>
      </c>
      <c r="N1029" t="inlineStr">
        <is>
          <t>No</t>
        </is>
      </c>
      <c r="O1029" t="inlineStr">
        <is>
          <t>Yes</t>
        </is>
      </c>
      <c r="P1029" t="inlineStr">
        <is>
          <t>Soundariya B</t>
        </is>
      </c>
      <c r="Q1029" t="inlineStr">
        <is>
          <t>Neutral</t>
        </is>
      </c>
    </row>
    <row r="1030">
      <c r="A1030" t="inlineStr">
        <is>
          <t>kulsrestha.j</t>
        </is>
      </c>
      <c r="B1030" t="inlineStr">
        <is>
          <t>Kulsrestha Joshi</t>
        </is>
      </c>
      <c r="C1030" t="inlineStr">
        <is>
          <t>kulsrestha.j@osmosys.co</t>
        </is>
      </c>
      <c r="D1030" t="inlineStr">
        <is>
          <t>incident-reporter</t>
        </is>
      </c>
      <c r="E1030">
        <f>HYPERLINK("http://gitlab.osmosys.co/incident-reporter/incident-reporter-angular-portal", "OQSHA Portal")</f>
        <v/>
      </c>
      <c r="F1030">
        <f>HYPERLINK("http://gitlab.osmosys.co/incident-reporter/incident-reporter-angular-portal/-/merge_requests/3407", "feat: add department association to tickets")</f>
        <v/>
      </c>
      <c r="G1030" t="inlineStr">
        <is>
          <t>feat/department-tickets</t>
        </is>
      </c>
      <c r="H1030" t="inlineStr">
        <is>
          <t>sprint-17</t>
        </is>
      </c>
      <c r="I1030" t="inlineStr">
        <is>
          <t>merged</t>
        </is>
      </c>
      <c r="J1030" t="inlineStr">
        <is>
          <t>c03fca49f3c7098f0e0abea79db82491f282c6fc</t>
        </is>
      </c>
      <c r="K1030">
        <f>HYPERLINK("http://gitlab.osmosys.co/incident-reporter/incident-reporter-angular-portal/-/merge_requests/3407#note_235618", "Can you improve this code it's bit confusing and unclear code")</f>
        <v/>
      </c>
      <c r="L1030" t="inlineStr">
        <is>
          <t>2025-07-12 01:46:54.833 IST</t>
        </is>
      </c>
      <c r="M1030" t="inlineStr">
        <is>
          <t>Soundariya B</t>
        </is>
      </c>
      <c r="N1030" t="inlineStr">
        <is>
          <t>Yes</t>
        </is>
      </c>
      <c r="O1030" t="inlineStr">
        <is>
          <t>Yes</t>
        </is>
      </c>
      <c r="P1030" t="inlineStr">
        <is>
          <t>Soundariya B</t>
        </is>
      </c>
      <c r="Q1030" t="inlineStr">
        <is>
          <t>Neutral</t>
        </is>
      </c>
    </row>
    <row r="1031">
      <c r="A1031" t="inlineStr">
        <is>
          <t>kulsrestha.j</t>
        </is>
      </c>
      <c r="B1031" t="inlineStr">
        <is>
          <t>Kulsrestha Joshi</t>
        </is>
      </c>
      <c r="C1031" t="inlineStr">
        <is>
          <t>kulsrestha.j@osmosys.co</t>
        </is>
      </c>
      <c r="D1031" t="inlineStr">
        <is>
          <t>incident-reporter</t>
        </is>
      </c>
      <c r="E1031">
        <f>HYPERLINK("http://gitlab.osmosys.co/incident-reporter/incident-reporter-angular-portal", "OQSHA Portal")</f>
        <v/>
      </c>
      <c r="F1031">
        <f>HYPERLINK("http://gitlab.osmosys.co/incident-reporter/incident-reporter-angular-portal/-/merge_requests/3407", "feat: add department association to tickets")</f>
        <v/>
      </c>
      <c r="G1031" t="inlineStr">
        <is>
          <t>feat/department-tickets</t>
        </is>
      </c>
      <c r="H1031" t="inlineStr">
        <is>
          <t>sprint-17</t>
        </is>
      </c>
      <c r="I1031" t="inlineStr">
        <is>
          <t>merged</t>
        </is>
      </c>
      <c r="J1031" t="inlineStr">
        <is>
          <t>c03fca49f3c7098f0e0abea79db82491f282c6fc</t>
        </is>
      </c>
      <c r="K1031">
        <f>HYPERLINK("http://gitlab.osmosys.co/incident-reporter/incident-reporter-angular-portal/-/merge_requests/3407#note_235760", "Can't change it , but added a comment on what it is doing")</f>
        <v/>
      </c>
      <c r="L1031" t="inlineStr">
        <is>
          <t>2025-07-14 11:12:27.680 IST</t>
        </is>
      </c>
      <c r="M1031" t="inlineStr">
        <is>
          <t>Kulsrestha Joshi</t>
        </is>
      </c>
      <c r="N1031" t="inlineStr">
        <is>
          <t>No</t>
        </is>
      </c>
      <c r="O1031" t="inlineStr">
        <is>
          <t>Yes</t>
        </is>
      </c>
      <c r="P1031" t="inlineStr">
        <is>
          <t>Soundariya B</t>
        </is>
      </c>
      <c r="Q1031" t="inlineStr">
        <is>
          <t>Neutral</t>
        </is>
      </c>
    </row>
    <row r="1032">
      <c r="A1032" t="inlineStr">
        <is>
          <t>kulsrestha.j</t>
        </is>
      </c>
      <c r="B1032" t="inlineStr">
        <is>
          <t>Kulsrestha Joshi</t>
        </is>
      </c>
      <c r="C1032" t="inlineStr">
        <is>
          <t>kulsrestha.j@osmosys.co</t>
        </is>
      </c>
      <c r="D1032" t="inlineStr">
        <is>
          <t>incident-reporter</t>
        </is>
      </c>
      <c r="E1032">
        <f>HYPERLINK("http://gitlab.osmosys.co/incident-reporter/incident-reporter-angular-portal", "OQSHA Portal")</f>
        <v/>
      </c>
      <c r="F1032">
        <f>HYPERLINK("http://gitlab.osmosys.co/incident-reporter/incident-reporter-angular-portal/-/merge_requests/3407", "feat: add department association to tickets")</f>
        <v/>
      </c>
      <c r="G1032" t="inlineStr">
        <is>
          <t>feat/department-tickets</t>
        </is>
      </c>
      <c r="H1032" t="inlineStr">
        <is>
          <t>sprint-17</t>
        </is>
      </c>
      <c r="I1032" t="inlineStr">
        <is>
          <t>merged</t>
        </is>
      </c>
      <c r="J1032" t="inlineStr">
        <is>
          <t>cf5e4db4ad6897f9ae35a87c4830da6c1d700317</t>
        </is>
      </c>
      <c r="K1032">
        <f>HYPERLINK("http://gitlab.osmosys.co/incident-reporter/incident-reporter-angular-portal/-/merge_requests/3407#note_235619", "Formating an indentation is bad
Please fix it every Where")</f>
        <v/>
      </c>
      <c r="L1032" t="inlineStr">
        <is>
          <t>2025-07-12 01:46:54.908 IST</t>
        </is>
      </c>
      <c r="M1032" t="inlineStr">
        <is>
          <t>Soundariya B</t>
        </is>
      </c>
      <c r="N1032" t="inlineStr">
        <is>
          <t>Yes</t>
        </is>
      </c>
      <c r="O1032" t="inlineStr">
        <is>
          <t>Yes</t>
        </is>
      </c>
      <c r="P1032" t="inlineStr">
        <is>
          <t>Soundariya B</t>
        </is>
      </c>
      <c r="Q1032" t="inlineStr">
        <is>
          <t>Neutral</t>
        </is>
      </c>
    </row>
    <row r="1033">
      <c r="A1033" t="inlineStr">
        <is>
          <t>kulsrestha.j</t>
        </is>
      </c>
      <c r="B1033" t="inlineStr">
        <is>
          <t>Kulsrestha Joshi</t>
        </is>
      </c>
      <c r="C1033" t="inlineStr">
        <is>
          <t>kulsrestha.j@osmosys.co</t>
        </is>
      </c>
      <c r="D1033" t="inlineStr">
        <is>
          <t>incident-reporter</t>
        </is>
      </c>
      <c r="E1033">
        <f>HYPERLINK("http://gitlab.osmosys.co/incident-reporter/incident-reporter-angular-portal", "OQSHA Portal")</f>
        <v/>
      </c>
      <c r="F1033">
        <f>HYPERLINK("http://gitlab.osmosys.co/incident-reporter/incident-reporter-angular-portal/-/merge_requests/3407", "feat: add department association to tickets")</f>
        <v/>
      </c>
      <c r="G1033" t="inlineStr">
        <is>
          <t>feat/department-tickets</t>
        </is>
      </c>
      <c r="H1033" t="inlineStr">
        <is>
          <t>sprint-17</t>
        </is>
      </c>
      <c r="I1033" t="inlineStr">
        <is>
          <t>merged</t>
        </is>
      </c>
      <c r="J1033" t="inlineStr">
        <is>
          <t>cf5e4db4ad6897f9ae35a87c4830da6c1d700317</t>
        </is>
      </c>
      <c r="K1033">
        <f>HYPERLINK("http://gitlab.osmosys.co/incident-reporter/incident-reporter-angular-portal/-/merge_requests/3407#note_235762", "Its done by prettier , i can't not update it manually , what's the point of having the package then")</f>
        <v/>
      </c>
      <c r="L1033" t="inlineStr">
        <is>
          <t>2025-07-14 11:14:50.134 IST</t>
        </is>
      </c>
      <c r="M1033" t="inlineStr">
        <is>
          <t>Kulsrestha Joshi</t>
        </is>
      </c>
      <c r="N1033" t="inlineStr">
        <is>
          <t>No</t>
        </is>
      </c>
      <c r="O1033" t="inlineStr">
        <is>
          <t>Yes</t>
        </is>
      </c>
      <c r="P1033" t="inlineStr">
        <is>
          <t>Soundariya B</t>
        </is>
      </c>
      <c r="Q1033" t="inlineStr">
        <is>
          <t>Neutral</t>
        </is>
      </c>
    </row>
    <row r="1034">
      <c r="A1034" t="inlineStr">
        <is>
          <t>kulsrestha.j</t>
        </is>
      </c>
      <c r="B1034" t="inlineStr">
        <is>
          <t>Kulsrestha Joshi</t>
        </is>
      </c>
      <c r="C1034" t="inlineStr">
        <is>
          <t>kulsrestha.j@osmosys.co</t>
        </is>
      </c>
      <c r="D1034" t="inlineStr">
        <is>
          <t>incident-reporter</t>
        </is>
      </c>
      <c r="E1034">
        <f>HYPERLINK("http://gitlab.osmosys.co/incident-reporter/incident-reporter-angular-portal", "OQSHA Portal")</f>
        <v/>
      </c>
      <c r="F1034">
        <f>HYPERLINK("http://gitlab.osmosys.co/incident-reporter/incident-reporter-angular-portal/-/merge_requests/3407", "feat: add department association to tickets")</f>
        <v/>
      </c>
      <c r="G1034" t="inlineStr">
        <is>
          <t>feat/department-tickets</t>
        </is>
      </c>
      <c r="H1034" t="inlineStr">
        <is>
          <t>sprint-17</t>
        </is>
      </c>
      <c r="I1034" t="inlineStr">
        <is>
          <t>merged</t>
        </is>
      </c>
      <c r="J1034" t="inlineStr">
        <is>
          <t>c7c47c52ed9e9bdef12b0b520776e9aca13b118a</t>
        </is>
      </c>
      <c r="K1034">
        <f>HYPERLINK("http://gitlab.osmosys.co/incident-reporter/incident-reporter-angular-portal/-/merge_requests/3407#note_235620", "Same here please check the above comment")</f>
        <v/>
      </c>
      <c r="L1034" t="inlineStr">
        <is>
          <t>2025-07-12 01:46:54.982 IST</t>
        </is>
      </c>
      <c r="M1034" t="inlineStr">
        <is>
          <t>Soundariya B</t>
        </is>
      </c>
      <c r="N1034" t="inlineStr">
        <is>
          <t>Yes</t>
        </is>
      </c>
      <c r="O1034" t="inlineStr">
        <is>
          <t>Yes</t>
        </is>
      </c>
      <c r="P1034" t="inlineStr">
        <is>
          <t>Soundariya B</t>
        </is>
      </c>
      <c r="Q1034" t="inlineStr">
        <is>
          <t>Neutral</t>
        </is>
      </c>
    </row>
    <row r="1035">
      <c r="A1035" t="inlineStr">
        <is>
          <t>kulsrestha.j</t>
        </is>
      </c>
      <c r="B1035" t="inlineStr">
        <is>
          <t>Kulsrestha Joshi</t>
        </is>
      </c>
      <c r="C1035" t="inlineStr">
        <is>
          <t>kulsrestha.j@osmosys.co</t>
        </is>
      </c>
      <c r="D1035" t="inlineStr">
        <is>
          <t>incident-reporter</t>
        </is>
      </c>
      <c r="E1035">
        <f>HYPERLINK("http://gitlab.osmosys.co/incident-reporter/incident-reporter-angular-portal", "OQSHA Portal")</f>
        <v/>
      </c>
      <c r="F1035">
        <f>HYPERLINK("http://gitlab.osmosys.co/incident-reporter/incident-reporter-angular-portal/-/merge_requests/3407", "feat: add department association to tickets")</f>
        <v/>
      </c>
      <c r="G1035" t="inlineStr">
        <is>
          <t>feat/department-tickets</t>
        </is>
      </c>
      <c r="H1035" t="inlineStr">
        <is>
          <t>sprint-17</t>
        </is>
      </c>
      <c r="I1035" t="inlineStr">
        <is>
          <t>merged</t>
        </is>
      </c>
      <c r="J1035" t="inlineStr">
        <is>
          <t>c7c47c52ed9e9bdef12b0b520776e9aca13b118a</t>
        </is>
      </c>
      <c r="K1035">
        <f>HYPERLINK("http://gitlab.osmosys.co/incident-reporter/incident-reporter-angular-portal/-/merge_requests/3407#note_235763", "Its done by prettier , i can't not update it manually , what's the point of having the package then")</f>
        <v/>
      </c>
      <c r="L1035" t="inlineStr">
        <is>
          <t>2025-07-14 11:14:54.514 IST</t>
        </is>
      </c>
      <c r="M1035" t="inlineStr">
        <is>
          <t>Kulsrestha Joshi</t>
        </is>
      </c>
      <c r="N1035" t="inlineStr">
        <is>
          <t>No</t>
        </is>
      </c>
      <c r="O1035" t="inlineStr">
        <is>
          <t>Yes</t>
        </is>
      </c>
      <c r="P1035" t="inlineStr">
        <is>
          <t>Soundariya B</t>
        </is>
      </c>
      <c r="Q1035" t="inlineStr">
        <is>
          <t>Neutral</t>
        </is>
      </c>
    </row>
    <row r="1036">
      <c r="A1036" t="inlineStr">
        <is>
          <t>kulsrestha.j</t>
        </is>
      </c>
      <c r="B1036" t="inlineStr">
        <is>
          <t>Kulsrestha Joshi</t>
        </is>
      </c>
      <c r="C1036" t="inlineStr">
        <is>
          <t>kulsrestha.j@osmosys.co</t>
        </is>
      </c>
      <c r="D1036" t="inlineStr">
        <is>
          <t>incident-reporter</t>
        </is>
      </c>
      <c r="E1036">
        <f>HYPERLINK("http://gitlab.osmosys.co/incident-reporter/incident-reporter-angular-portal", "OQSHA Portal")</f>
        <v/>
      </c>
      <c r="F1036">
        <f>HYPERLINK("http://gitlab.osmosys.co/incident-reporter/incident-reporter-angular-portal/-/merge_requests/3407", "feat: add department association to tickets")</f>
        <v/>
      </c>
      <c r="G1036" t="inlineStr">
        <is>
          <t>feat/department-tickets</t>
        </is>
      </c>
      <c r="H1036" t="inlineStr">
        <is>
          <t>sprint-17</t>
        </is>
      </c>
      <c r="I1036" t="inlineStr">
        <is>
          <t>merged</t>
        </is>
      </c>
      <c r="J1036" t="inlineStr">
        <is>
          <t>e39c66026fa2479946824f4ed890a85a92d7c7c0</t>
        </is>
      </c>
      <c r="K1036">
        <f>HYPERLINK("http://gitlab.osmosys.co/incident-reporter/incident-reporter-angular-portal/-/merge_requests/3407#note_235621", "Can't you declare the constant variables at once in single line")</f>
        <v/>
      </c>
      <c r="L1036" t="inlineStr">
        <is>
          <t>2025-07-12 01:46:55.055 IST</t>
        </is>
      </c>
      <c r="M1036" t="inlineStr">
        <is>
          <t>Soundariya B</t>
        </is>
      </c>
      <c r="N1036" t="inlineStr">
        <is>
          <t>Yes</t>
        </is>
      </c>
      <c r="O1036" t="inlineStr">
        <is>
          <t>Yes</t>
        </is>
      </c>
      <c r="P1036" t="inlineStr">
        <is>
          <t>Soundariya B</t>
        </is>
      </c>
      <c r="Q1036" t="inlineStr">
        <is>
          <t>Bad</t>
        </is>
      </c>
    </row>
    <row r="1037">
      <c r="A1037" t="inlineStr">
        <is>
          <t>kulsrestha.j</t>
        </is>
      </c>
      <c r="B1037" t="inlineStr">
        <is>
          <t>Kulsrestha Joshi</t>
        </is>
      </c>
      <c r="C1037" t="inlineStr">
        <is>
          <t>kulsrestha.j@osmosys.co</t>
        </is>
      </c>
      <c r="D1037" t="inlineStr">
        <is>
          <t>incident-reporter</t>
        </is>
      </c>
      <c r="E1037">
        <f>HYPERLINK("http://gitlab.osmosys.co/incident-reporter/incident-reporter-angular-portal", "OQSHA Portal")</f>
        <v/>
      </c>
      <c r="F1037">
        <f>HYPERLINK("http://gitlab.osmosys.co/incident-reporter/incident-reporter-angular-portal/-/merge_requests/3407", "feat: add department association to tickets")</f>
        <v/>
      </c>
      <c r="G1037" t="inlineStr">
        <is>
          <t>feat/department-tickets</t>
        </is>
      </c>
      <c r="H1037" t="inlineStr">
        <is>
          <t>sprint-17</t>
        </is>
      </c>
      <c r="I1037" t="inlineStr">
        <is>
          <t>merged</t>
        </is>
      </c>
      <c r="J1037" t="inlineStr">
        <is>
          <t>e39c66026fa2479946824f4ed890a85a92d7c7c0</t>
        </is>
      </c>
      <c r="K1037">
        <f>HYPERLINK("http://gitlab.osmosys.co/incident-reporter/incident-reporter-angular-portal/-/merge_requests/3407#note_235767", "Updated, wherever possible")</f>
        <v/>
      </c>
      <c r="L1037" t="inlineStr">
        <is>
          <t>2025-07-14 11:22:10.238 IST</t>
        </is>
      </c>
      <c r="M1037" t="inlineStr">
        <is>
          <t>Kulsrestha Joshi</t>
        </is>
      </c>
      <c r="N1037" t="inlineStr">
        <is>
          <t>No</t>
        </is>
      </c>
      <c r="O1037" t="inlineStr">
        <is>
          <t>Yes</t>
        </is>
      </c>
      <c r="P1037" t="inlineStr">
        <is>
          <t>Soundariya B</t>
        </is>
      </c>
      <c r="Q1037" t="inlineStr">
        <is>
          <t>Bad</t>
        </is>
      </c>
    </row>
    <row r="1038">
      <c r="A1038" t="inlineStr">
        <is>
          <t>kulsrestha.j</t>
        </is>
      </c>
      <c r="B1038" t="inlineStr">
        <is>
          <t>Kulsrestha Joshi</t>
        </is>
      </c>
      <c r="C1038" t="inlineStr">
        <is>
          <t>kulsrestha.j@osmosys.co</t>
        </is>
      </c>
      <c r="D1038" t="inlineStr">
        <is>
          <t>incident-reporter</t>
        </is>
      </c>
      <c r="E1038">
        <f>HYPERLINK("http://gitlab.osmosys.co/incident-reporter/incident-reporter-angular-portal", "OQSHA Portal")</f>
        <v/>
      </c>
      <c r="F1038">
        <f>HYPERLINK("http://gitlab.osmosys.co/incident-reporter/incident-reporter-angular-portal/-/merge_requests/3407", "feat: add department association to tickets")</f>
        <v/>
      </c>
      <c r="G1038" t="inlineStr">
        <is>
          <t>feat/department-tickets</t>
        </is>
      </c>
      <c r="H1038" t="inlineStr">
        <is>
          <t>sprint-17</t>
        </is>
      </c>
      <c r="I1038" t="inlineStr">
        <is>
          <t>merged</t>
        </is>
      </c>
      <c r="J1038" t="inlineStr">
        <is>
          <t>3cf6337cad68e30de99e051c7fb4b5c5396bfb3c</t>
        </is>
      </c>
      <c r="K1038">
        <f>HYPERLINK("http://gitlab.osmosys.co/incident-reporter/incident-reporter-angular-portal/-/merge_requests/3407#note_235622", "anyway this else block will be not default value can you use this as a default at the bottom")</f>
        <v/>
      </c>
      <c r="L1038" t="inlineStr">
        <is>
          <t>2025-07-12 01:46:55.128 IST</t>
        </is>
      </c>
      <c r="M1038" t="inlineStr">
        <is>
          <t>Soundariya B</t>
        </is>
      </c>
      <c r="N1038" t="inlineStr">
        <is>
          <t>Yes</t>
        </is>
      </c>
      <c r="O1038" t="inlineStr">
        <is>
          <t>Yes</t>
        </is>
      </c>
      <c r="P1038" t="inlineStr">
        <is>
          <t>Soundariya B</t>
        </is>
      </c>
      <c r="Q1038" t="inlineStr">
        <is>
          <t>Bad</t>
        </is>
      </c>
    </row>
    <row r="1039">
      <c r="A1039" t="inlineStr">
        <is>
          <t>kulsrestha.j</t>
        </is>
      </c>
      <c r="B1039" t="inlineStr">
        <is>
          <t>Kulsrestha Joshi</t>
        </is>
      </c>
      <c r="C1039" t="inlineStr">
        <is>
          <t>kulsrestha.j@osmosys.co</t>
        </is>
      </c>
      <c r="D1039" t="inlineStr">
        <is>
          <t>incident-reporter</t>
        </is>
      </c>
      <c r="E1039">
        <f>HYPERLINK("http://gitlab.osmosys.co/incident-reporter/incident-reporter-angular-portal", "OQSHA Portal")</f>
        <v/>
      </c>
      <c r="F1039">
        <f>HYPERLINK("http://gitlab.osmosys.co/incident-reporter/incident-reporter-angular-portal/-/merge_requests/3407", "feat: add department association to tickets")</f>
        <v/>
      </c>
      <c r="G1039" t="inlineStr">
        <is>
          <t>feat/department-tickets</t>
        </is>
      </c>
      <c r="H1039" t="inlineStr">
        <is>
          <t>sprint-17</t>
        </is>
      </c>
      <c r="I1039" t="inlineStr">
        <is>
          <t>merged</t>
        </is>
      </c>
      <c r="J1039" t="inlineStr">
        <is>
          <t>3cf6337cad68e30de99e051c7fb4b5c5396bfb3c</t>
        </is>
      </c>
      <c r="K1039">
        <f>HYPERLINK("http://gitlab.osmosys.co/incident-reporter/incident-reporter-angular-portal/-/merge_requests/3407#note_235772", "I have updated the logic here .")</f>
        <v/>
      </c>
      <c r="L1039" t="inlineStr">
        <is>
          <t>2025-07-14 11:30:38.355 IST</t>
        </is>
      </c>
      <c r="M1039" t="inlineStr">
        <is>
          <t>Kulsrestha Joshi</t>
        </is>
      </c>
      <c r="N1039" t="inlineStr">
        <is>
          <t>No</t>
        </is>
      </c>
      <c r="O1039" t="inlineStr">
        <is>
          <t>Yes</t>
        </is>
      </c>
      <c r="P1039" t="inlineStr">
        <is>
          <t>Soundariya B</t>
        </is>
      </c>
      <c r="Q1039" t="inlineStr">
        <is>
          <t>Bad</t>
        </is>
      </c>
    </row>
    <row r="1040">
      <c r="A1040" t="inlineStr">
        <is>
          <t>kulsrestha.j</t>
        </is>
      </c>
      <c r="B1040" t="inlineStr">
        <is>
          <t>Kulsrestha Joshi</t>
        </is>
      </c>
      <c r="C1040" t="inlineStr">
        <is>
          <t>kulsrestha.j@osmosys.co</t>
        </is>
      </c>
      <c r="D1040" t="inlineStr">
        <is>
          <t>incident-reporter</t>
        </is>
      </c>
      <c r="E1040">
        <f>HYPERLINK("http://gitlab.osmosys.co/incident-reporter/incident-reporter-angular-portal", "OQSHA Portal")</f>
        <v/>
      </c>
      <c r="F1040">
        <f>HYPERLINK("http://gitlab.osmosys.co/incident-reporter/incident-reporter-angular-portal/-/merge_requests/3407", "feat: add department association to tickets")</f>
        <v/>
      </c>
      <c r="G1040" t="inlineStr">
        <is>
          <t>feat/department-tickets</t>
        </is>
      </c>
      <c r="H1040" t="inlineStr">
        <is>
          <t>sprint-17</t>
        </is>
      </c>
      <c r="I1040" t="inlineStr">
        <is>
          <t>merged</t>
        </is>
      </c>
      <c r="J1040" t="inlineStr">
        <is>
          <t>8d1f7bf71429f8756af54b1789a96343cc2375bb</t>
        </is>
      </c>
      <c r="K1040">
        <f>HYPERLINK("http://gitlab.osmosys.co/incident-reporter/incident-reporter-angular-portal/-/merge_requests/3407#note_235623", "Same type of code using here so can you reuse the code by using some common method in this file itself")</f>
        <v/>
      </c>
      <c r="L1040" t="inlineStr">
        <is>
          <t>2025-07-12 01:46:55.201 IST</t>
        </is>
      </c>
      <c r="M1040" t="inlineStr">
        <is>
          <t>Soundariya B</t>
        </is>
      </c>
      <c r="N1040" t="inlineStr">
        <is>
          <t>Yes</t>
        </is>
      </c>
      <c r="O1040" t="inlineStr">
        <is>
          <t>Yes</t>
        </is>
      </c>
      <c r="P1040" t="inlineStr">
        <is>
          <t>Soundariya B</t>
        </is>
      </c>
      <c r="Q1040" t="inlineStr">
        <is>
          <t>Neutral</t>
        </is>
      </c>
    </row>
    <row r="1041">
      <c r="A1041" t="inlineStr">
        <is>
          <t>kulsrestha.j</t>
        </is>
      </c>
      <c r="B1041" t="inlineStr">
        <is>
          <t>Kulsrestha Joshi</t>
        </is>
      </c>
      <c r="C1041" t="inlineStr">
        <is>
          <t>kulsrestha.j@osmosys.co</t>
        </is>
      </c>
      <c r="D1041" t="inlineStr">
        <is>
          <t>incident-reporter</t>
        </is>
      </c>
      <c r="E1041">
        <f>HYPERLINK("http://gitlab.osmosys.co/incident-reporter/incident-reporter-angular-portal", "OQSHA Portal")</f>
        <v/>
      </c>
      <c r="F1041">
        <f>HYPERLINK("http://gitlab.osmosys.co/incident-reporter/incident-reporter-angular-portal/-/merge_requests/3407", "feat: add department association to tickets")</f>
        <v/>
      </c>
      <c r="G1041" t="inlineStr">
        <is>
          <t>feat/department-tickets</t>
        </is>
      </c>
      <c r="H1041" t="inlineStr">
        <is>
          <t>sprint-17</t>
        </is>
      </c>
      <c r="I1041" t="inlineStr">
        <is>
          <t>merged</t>
        </is>
      </c>
      <c r="J1041" t="inlineStr">
        <is>
          <t>8d1f7bf71429f8756af54b1789a96343cc2375bb</t>
        </is>
      </c>
      <c r="K1041">
        <f>HYPERLINK("http://gitlab.osmosys.co/incident-reporter/incident-reporter-angular-portal/-/merge_requests/3407#note_235773", "Not being used now , as i have updated the logic")</f>
        <v/>
      </c>
      <c r="L1041" t="inlineStr">
        <is>
          <t>2025-07-14 11:31:17.099 IST</t>
        </is>
      </c>
      <c r="M1041" t="inlineStr">
        <is>
          <t>Kulsrestha Joshi</t>
        </is>
      </c>
      <c r="N1041" t="inlineStr">
        <is>
          <t>No</t>
        </is>
      </c>
      <c r="O1041" t="inlineStr">
        <is>
          <t>Yes</t>
        </is>
      </c>
      <c r="P1041" t="inlineStr">
        <is>
          <t>Soundariya B</t>
        </is>
      </c>
      <c r="Q1041" t="inlineStr">
        <is>
          <t>Neutral</t>
        </is>
      </c>
    </row>
    <row r="1042">
      <c r="A1042" t="inlineStr">
        <is>
          <t>kulsrestha.j</t>
        </is>
      </c>
      <c r="B1042" t="inlineStr">
        <is>
          <t>Kulsrestha Joshi</t>
        </is>
      </c>
      <c r="C1042" t="inlineStr">
        <is>
          <t>kulsrestha.j@osmosys.co</t>
        </is>
      </c>
      <c r="D1042" t="inlineStr">
        <is>
          <t>incident-reporter</t>
        </is>
      </c>
      <c r="E1042">
        <f>HYPERLINK("http://gitlab.osmosys.co/incident-reporter/incident-reporter-angular-portal", "OQSHA Portal")</f>
        <v/>
      </c>
      <c r="F1042">
        <f>HYPERLINK("http://gitlab.osmosys.co/incident-reporter/incident-reporter-angular-portal/-/merge_requests/3407", "feat: add department association to tickets")</f>
        <v/>
      </c>
      <c r="G1042" t="inlineStr">
        <is>
          <t>feat/department-tickets</t>
        </is>
      </c>
      <c r="H1042" t="inlineStr">
        <is>
          <t>sprint-17</t>
        </is>
      </c>
      <c r="I1042" t="inlineStr">
        <is>
          <t>merged</t>
        </is>
      </c>
      <c r="J1042" t="inlineStr">
        <is>
          <t>adafe3846a0d6a54437680eab66dd1d8b35a622c</t>
        </is>
      </c>
      <c r="K1042">
        <f>HYPERLINK("http://gitlab.osmosys.co/incident-reporter/incident-reporter-angular-portal/-/merge_requests/3407#note_235624", "remove the hardcoded values and pass the error")</f>
        <v/>
      </c>
      <c r="L1042" t="inlineStr">
        <is>
          <t>2025-07-12 01:46:55.275 IST</t>
        </is>
      </c>
      <c r="M1042" t="inlineStr">
        <is>
          <t>Soundariya B</t>
        </is>
      </c>
      <c r="N1042" t="inlineStr">
        <is>
          <t>Yes</t>
        </is>
      </c>
      <c r="O1042" t="inlineStr">
        <is>
          <t>Yes</t>
        </is>
      </c>
      <c r="P1042" t="inlineStr">
        <is>
          <t>Soundariya B</t>
        </is>
      </c>
      <c r="Q1042" t="inlineStr">
        <is>
          <t>Neutral</t>
        </is>
      </c>
    </row>
    <row r="1043">
      <c r="A1043" t="inlineStr">
        <is>
          <t>kulsrestha.j</t>
        </is>
      </c>
      <c r="B1043" t="inlineStr">
        <is>
          <t>Kulsrestha Joshi</t>
        </is>
      </c>
      <c r="C1043" t="inlineStr">
        <is>
          <t>kulsrestha.j@osmosys.co</t>
        </is>
      </c>
      <c r="D1043" t="inlineStr">
        <is>
          <t>incident-reporter</t>
        </is>
      </c>
      <c r="E1043">
        <f>HYPERLINK("http://gitlab.osmosys.co/incident-reporter/incident-reporter-angular-portal", "OQSHA Portal")</f>
        <v/>
      </c>
      <c r="F1043">
        <f>HYPERLINK("http://gitlab.osmosys.co/incident-reporter/incident-reporter-angular-portal/-/merge_requests/3407", "feat: add department association to tickets")</f>
        <v/>
      </c>
      <c r="G1043" t="inlineStr">
        <is>
          <t>feat/department-tickets</t>
        </is>
      </c>
      <c r="H1043" t="inlineStr">
        <is>
          <t>sprint-17</t>
        </is>
      </c>
      <c r="I1043" t="inlineStr">
        <is>
          <t>merged</t>
        </is>
      </c>
      <c r="J1043" t="inlineStr">
        <is>
          <t>adafe3846a0d6a54437680eab66dd1d8b35a622c</t>
        </is>
      </c>
      <c r="K1043">
        <f>HYPERLINK("http://gitlab.osmosys.co/incident-reporter/incident-reporter-angular-portal/-/merge_requests/3407#note_235797", "Not needed , so removed")</f>
        <v/>
      </c>
      <c r="L1043" t="inlineStr">
        <is>
          <t>2025-07-14 11:57:38.581 IST</t>
        </is>
      </c>
      <c r="M1043" t="inlineStr">
        <is>
          <t>Kulsrestha Joshi</t>
        </is>
      </c>
      <c r="N1043" t="inlineStr">
        <is>
          <t>No</t>
        </is>
      </c>
      <c r="O1043" t="inlineStr">
        <is>
          <t>Yes</t>
        </is>
      </c>
      <c r="P1043" t="inlineStr">
        <is>
          <t>Soundariya B</t>
        </is>
      </c>
      <c r="Q1043" t="inlineStr">
        <is>
          <t>Neutral</t>
        </is>
      </c>
    </row>
    <row r="1044">
      <c r="A1044" t="inlineStr">
        <is>
          <t>kulsrestha.j</t>
        </is>
      </c>
      <c r="B1044" t="inlineStr">
        <is>
          <t>Kulsrestha Joshi</t>
        </is>
      </c>
      <c r="C1044" t="inlineStr">
        <is>
          <t>kulsrestha.j@osmosys.co</t>
        </is>
      </c>
      <c r="D1044" t="inlineStr">
        <is>
          <t>incident-reporter</t>
        </is>
      </c>
      <c r="E1044">
        <f>HYPERLINK("http://gitlab.osmosys.co/incident-reporter/incident-reporter-angular-portal", "OQSHA Portal")</f>
        <v/>
      </c>
      <c r="F1044">
        <f>HYPERLINK("http://gitlab.osmosys.co/incident-reporter/incident-reporter-angular-portal/-/merge_requests/3407", "feat: add department association to tickets")</f>
        <v/>
      </c>
      <c r="G1044" t="inlineStr">
        <is>
          <t>feat/department-tickets</t>
        </is>
      </c>
      <c r="H1044" t="inlineStr">
        <is>
          <t>sprint-17</t>
        </is>
      </c>
      <c r="I1044" t="inlineStr">
        <is>
          <t>merged</t>
        </is>
      </c>
      <c r="J1044" t="inlineStr">
        <is>
          <t>ac05ec25d99c6a12a49977a3468805ad95e7acad</t>
        </is>
      </c>
      <c r="K1044">
        <f>HYPERLINK("http://gitlab.osmosys.co/incident-reporter/incident-reporter-angular-portal/-/merge_requests/3407#note_235625", "Improve the code This seems code repetition It's very messy code and unclear code it's hard to read for anyone")</f>
        <v/>
      </c>
      <c r="L1044" t="inlineStr">
        <is>
          <t>2025-07-12 01:46:55.348 IST</t>
        </is>
      </c>
      <c r="M1044" t="inlineStr">
        <is>
          <t>Soundariya B</t>
        </is>
      </c>
      <c r="N1044" t="inlineStr">
        <is>
          <t>Yes</t>
        </is>
      </c>
      <c r="O1044" t="inlineStr">
        <is>
          <t>Yes</t>
        </is>
      </c>
      <c r="P1044" t="inlineStr">
        <is>
          <t>Soundariya B</t>
        </is>
      </c>
      <c r="Q1044" t="inlineStr">
        <is>
          <t>Bad</t>
        </is>
      </c>
    </row>
    <row r="1045">
      <c r="A1045" t="inlineStr">
        <is>
          <t>kulsrestha.j</t>
        </is>
      </c>
      <c r="B1045" t="inlineStr">
        <is>
          <t>Kulsrestha Joshi</t>
        </is>
      </c>
      <c r="C1045" t="inlineStr">
        <is>
          <t>kulsrestha.j@osmosys.co</t>
        </is>
      </c>
      <c r="D1045" t="inlineStr">
        <is>
          <t>incident-reporter</t>
        </is>
      </c>
      <c r="E1045">
        <f>HYPERLINK("http://gitlab.osmosys.co/incident-reporter/incident-reporter-angular-portal", "OQSHA Portal")</f>
        <v/>
      </c>
      <c r="F1045">
        <f>HYPERLINK("http://gitlab.osmosys.co/incident-reporter/incident-reporter-angular-portal/-/merge_requests/3407", "feat: add department association to tickets")</f>
        <v/>
      </c>
      <c r="G1045" t="inlineStr">
        <is>
          <t>feat/department-tickets</t>
        </is>
      </c>
      <c r="H1045" t="inlineStr">
        <is>
          <t>sprint-17</t>
        </is>
      </c>
      <c r="I1045" t="inlineStr">
        <is>
          <t>merged</t>
        </is>
      </c>
      <c r="J1045" t="inlineStr">
        <is>
          <t>ac05ec25d99c6a12a49977a3468805ad95e7acad</t>
        </is>
      </c>
      <c r="K1045">
        <f>HYPERLINK("http://gitlab.osmosys.co/incident-reporter/incident-reporter-angular-portal/-/merge_requests/3407#note_235815", "Updated")</f>
        <v/>
      </c>
      <c r="L1045" t="inlineStr">
        <is>
          <t>2025-07-14 12:08:01.827 IST</t>
        </is>
      </c>
      <c r="M1045" t="inlineStr">
        <is>
          <t>Kulsrestha Joshi</t>
        </is>
      </c>
      <c r="N1045" t="inlineStr">
        <is>
          <t>No</t>
        </is>
      </c>
      <c r="O1045" t="inlineStr">
        <is>
          <t>Yes</t>
        </is>
      </c>
      <c r="P1045" t="inlineStr">
        <is>
          <t>Soundariya B</t>
        </is>
      </c>
      <c r="Q1045" t="inlineStr">
        <is>
          <t>Bad</t>
        </is>
      </c>
    </row>
    <row r="1046">
      <c r="A1046" t="inlineStr">
        <is>
          <t>kulsrestha.j</t>
        </is>
      </c>
      <c r="B1046" t="inlineStr">
        <is>
          <t>Kulsrestha Joshi</t>
        </is>
      </c>
      <c r="C1046" t="inlineStr">
        <is>
          <t>kulsrestha.j@osmosys.co</t>
        </is>
      </c>
      <c r="D1046" t="inlineStr">
        <is>
          <t>incident-reporter</t>
        </is>
      </c>
      <c r="E1046">
        <f>HYPERLINK("http://gitlab.osmosys.co/incident-reporter/incident-reporter-angular-portal", "OQSHA Portal")</f>
        <v/>
      </c>
      <c r="F1046">
        <f>HYPERLINK("http://gitlab.osmosys.co/incident-reporter/incident-reporter-angular-portal/-/merge_requests/3407", "feat: add department association to tickets")</f>
        <v/>
      </c>
      <c r="G1046" t="inlineStr">
        <is>
          <t>feat/department-tickets</t>
        </is>
      </c>
      <c r="H1046" t="inlineStr">
        <is>
          <t>sprint-17</t>
        </is>
      </c>
      <c r="I1046" t="inlineStr">
        <is>
          <t>merged</t>
        </is>
      </c>
      <c r="J1046" t="inlineStr">
        <is>
          <t>6e7d00cdb812888c1d04c0c1e085ca2dcd714f9e</t>
        </is>
      </c>
      <c r="K1046">
        <f>HYPERLINK("http://gitlab.osmosys.co/incident-reporter/incident-reporter-angular-portal/-/merge_requests/3407#note_235626", "Same here")</f>
        <v/>
      </c>
      <c r="L1046" t="inlineStr">
        <is>
          <t>2025-07-12 01:46:55.421 IST</t>
        </is>
      </c>
      <c r="M1046" t="inlineStr">
        <is>
          <t>Soundariya B</t>
        </is>
      </c>
      <c r="N1046" t="inlineStr">
        <is>
          <t>Yes</t>
        </is>
      </c>
      <c r="O1046" t="inlineStr">
        <is>
          <t>Yes</t>
        </is>
      </c>
      <c r="P1046" t="inlineStr">
        <is>
          <t>Soundariya B</t>
        </is>
      </c>
      <c r="Q1046" t="inlineStr">
        <is>
          <t>Neutral</t>
        </is>
      </c>
    </row>
    <row r="1047">
      <c r="A1047" t="inlineStr">
        <is>
          <t>kulsrestha.j</t>
        </is>
      </c>
      <c r="B1047" t="inlineStr">
        <is>
          <t>Kulsrestha Joshi</t>
        </is>
      </c>
      <c r="C1047" t="inlineStr">
        <is>
          <t>kulsrestha.j@osmosys.co</t>
        </is>
      </c>
      <c r="D1047" t="inlineStr">
        <is>
          <t>incident-reporter</t>
        </is>
      </c>
      <c r="E1047">
        <f>HYPERLINK("http://gitlab.osmosys.co/incident-reporter/incident-reporter-angular-portal", "OQSHA Portal")</f>
        <v/>
      </c>
      <c r="F1047">
        <f>HYPERLINK("http://gitlab.osmosys.co/incident-reporter/incident-reporter-angular-portal/-/merge_requests/3407", "feat: add department association to tickets")</f>
        <v/>
      </c>
      <c r="G1047" t="inlineStr">
        <is>
          <t>feat/department-tickets</t>
        </is>
      </c>
      <c r="H1047" t="inlineStr">
        <is>
          <t>sprint-17</t>
        </is>
      </c>
      <c r="I1047" t="inlineStr">
        <is>
          <t>merged</t>
        </is>
      </c>
      <c r="J1047" t="inlineStr">
        <is>
          <t>6e7d00cdb812888c1d04c0c1e085ca2dcd714f9e</t>
        </is>
      </c>
      <c r="K1047">
        <f>HYPERLINK("http://gitlab.osmosys.co/incident-reporter/incident-reporter-angular-portal/-/merge_requests/3407#note_235817", "Not necessary , removed")</f>
        <v/>
      </c>
      <c r="L1047" t="inlineStr">
        <is>
          <t>2025-07-14 12:08:29.750 IST</t>
        </is>
      </c>
      <c r="M1047" t="inlineStr">
        <is>
          <t>Kulsrestha Joshi</t>
        </is>
      </c>
      <c r="N1047" t="inlineStr">
        <is>
          <t>No</t>
        </is>
      </c>
      <c r="O1047" t="inlineStr">
        <is>
          <t>Yes</t>
        </is>
      </c>
      <c r="P1047" t="inlineStr">
        <is>
          <t>Soundariya B</t>
        </is>
      </c>
      <c r="Q1047" t="inlineStr">
        <is>
          <t>Neutral</t>
        </is>
      </c>
    </row>
    <row r="1048">
      <c r="A1048" t="inlineStr">
        <is>
          <t>kulsrestha.j</t>
        </is>
      </c>
      <c r="B1048" t="inlineStr">
        <is>
          <t>Kulsrestha Joshi</t>
        </is>
      </c>
      <c r="C1048" t="inlineStr">
        <is>
          <t>kulsrestha.j@osmosys.co</t>
        </is>
      </c>
      <c r="D1048" t="inlineStr">
        <is>
          <t>incident-reporter</t>
        </is>
      </c>
      <c r="E1048">
        <f>HYPERLINK("http://gitlab.osmosys.co/incident-reporter/incident-reporter-angular-portal", "OQSHA Portal")</f>
        <v/>
      </c>
      <c r="F1048">
        <f>HYPERLINK("http://gitlab.osmosys.co/incident-reporter/incident-reporter-angular-portal/-/merge_requests/3407", "feat: add department association to tickets")</f>
        <v/>
      </c>
      <c r="G1048" t="inlineStr">
        <is>
          <t>feat/department-tickets</t>
        </is>
      </c>
      <c r="H1048" t="inlineStr">
        <is>
          <t>sprint-17</t>
        </is>
      </c>
      <c r="I1048" t="inlineStr">
        <is>
          <t>merged</t>
        </is>
      </c>
      <c r="J1048" t="inlineStr">
        <is>
          <t>5e69bd4e3033dbceaf5adc6f59cffbbae9901f79</t>
        </is>
      </c>
      <c r="K1048">
        <f>HYPERLINK("http://gitlab.osmosys.co/incident-reporter/incident-reporter-angular-portal/-/merge_requests/3407#note_235627", "Same here")</f>
        <v/>
      </c>
      <c r="L1048" t="inlineStr">
        <is>
          <t>2025-07-12 01:46:55.495 IST</t>
        </is>
      </c>
      <c r="M1048" t="inlineStr">
        <is>
          <t>Soundariya B</t>
        </is>
      </c>
      <c r="N1048" t="inlineStr">
        <is>
          <t>Yes</t>
        </is>
      </c>
      <c r="O1048" t="inlineStr">
        <is>
          <t>Yes</t>
        </is>
      </c>
      <c r="P1048" t="inlineStr">
        <is>
          <t>Soundariya B</t>
        </is>
      </c>
      <c r="Q1048" t="inlineStr">
        <is>
          <t>Bad</t>
        </is>
      </c>
    </row>
    <row r="1049">
      <c r="A1049" t="inlineStr">
        <is>
          <t>kulsrestha.j</t>
        </is>
      </c>
      <c r="B1049" t="inlineStr">
        <is>
          <t>Kulsrestha Joshi</t>
        </is>
      </c>
      <c r="C1049" t="inlineStr">
        <is>
          <t>kulsrestha.j@osmosys.co</t>
        </is>
      </c>
      <c r="D1049" t="inlineStr">
        <is>
          <t>incident-reporter</t>
        </is>
      </c>
      <c r="E1049">
        <f>HYPERLINK("http://gitlab.osmosys.co/incident-reporter/incident-reporter-angular-portal", "OQSHA Portal")</f>
        <v/>
      </c>
      <c r="F1049">
        <f>HYPERLINK("http://gitlab.osmosys.co/incident-reporter/incident-reporter-angular-portal/-/merge_requests/3407", "feat: add department association to tickets")</f>
        <v/>
      </c>
      <c r="G1049" t="inlineStr">
        <is>
          <t>feat/department-tickets</t>
        </is>
      </c>
      <c r="H1049" t="inlineStr">
        <is>
          <t>sprint-17</t>
        </is>
      </c>
      <c r="I1049" t="inlineStr">
        <is>
          <t>merged</t>
        </is>
      </c>
      <c r="J1049" t="inlineStr">
        <is>
          <t>5e69bd4e3033dbceaf5adc6f59cffbbae9901f79</t>
        </is>
      </c>
      <c r="K1049">
        <f>HYPERLINK("http://gitlab.osmosys.co/incident-reporter/incident-reporter-angular-portal/-/merge_requests/3407#note_235819", "Updated")</f>
        <v/>
      </c>
      <c r="L1049" t="inlineStr">
        <is>
          <t>2025-07-14 12:10:04.884 IST</t>
        </is>
      </c>
      <c r="M1049" t="inlineStr">
        <is>
          <t>Kulsrestha Joshi</t>
        </is>
      </c>
      <c r="N1049" t="inlineStr">
        <is>
          <t>No</t>
        </is>
      </c>
      <c r="O1049" t="inlineStr">
        <is>
          <t>Yes</t>
        </is>
      </c>
      <c r="P1049" t="inlineStr">
        <is>
          <t>Soundariya B</t>
        </is>
      </c>
      <c r="Q1049" t="inlineStr">
        <is>
          <t>Bad</t>
        </is>
      </c>
    </row>
    <row r="1050">
      <c r="A1050" t="inlineStr">
        <is>
          <t>kulsrestha.j</t>
        </is>
      </c>
      <c r="B1050" t="inlineStr">
        <is>
          <t>Kulsrestha Joshi</t>
        </is>
      </c>
      <c r="C1050" t="inlineStr">
        <is>
          <t>kulsrestha.j@osmosys.co</t>
        </is>
      </c>
      <c r="D1050" t="inlineStr">
        <is>
          <t>incident-reporter</t>
        </is>
      </c>
      <c r="E1050">
        <f>HYPERLINK("http://gitlab.osmosys.co/incident-reporter/incident-reporter-angular-portal", "OQSHA Portal")</f>
        <v/>
      </c>
      <c r="F1050">
        <f>HYPERLINK("http://gitlab.osmosys.co/incident-reporter/incident-reporter-angular-portal/-/merge_requests/3407", "feat: add department association to tickets")</f>
        <v/>
      </c>
      <c r="G1050" t="inlineStr">
        <is>
          <t>feat/department-tickets</t>
        </is>
      </c>
      <c r="H1050" t="inlineStr">
        <is>
          <t>sprint-17</t>
        </is>
      </c>
      <c r="I1050" t="inlineStr">
        <is>
          <t>merged</t>
        </is>
      </c>
      <c r="J1050" t="inlineStr">
        <is>
          <t>fb1b618f4dc627ff9b78466c011a625c280df39b</t>
        </is>
      </c>
      <c r="K1050">
        <f>HYPERLINK("http://gitlab.osmosys.co/incident-reporter/incident-reporter-angular-portal/-/merge_requests/3407#note_235628", "Same here")</f>
        <v/>
      </c>
      <c r="L1050" t="inlineStr">
        <is>
          <t>2025-07-12 01:46:55.580 IST</t>
        </is>
      </c>
      <c r="M1050" t="inlineStr">
        <is>
          <t>Soundariya B</t>
        </is>
      </c>
      <c r="N1050" t="inlineStr">
        <is>
          <t>Yes</t>
        </is>
      </c>
      <c r="O1050" t="inlineStr">
        <is>
          <t>Yes</t>
        </is>
      </c>
      <c r="P1050" t="inlineStr">
        <is>
          <t>Soundariya B</t>
        </is>
      </c>
      <c r="Q1050" t="inlineStr">
        <is>
          <t>Bad</t>
        </is>
      </c>
    </row>
    <row r="1051">
      <c r="A1051" t="inlineStr">
        <is>
          <t>kulsrestha.j</t>
        </is>
      </c>
      <c r="B1051" t="inlineStr">
        <is>
          <t>Kulsrestha Joshi</t>
        </is>
      </c>
      <c r="C1051" t="inlineStr">
        <is>
          <t>kulsrestha.j@osmosys.co</t>
        </is>
      </c>
      <c r="D1051" t="inlineStr">
        <is>
          <t>incident-reporter</t>
        </is>
      </c>
      <c r="E1051">
        <f>HYPERLINK("http://gitlab.osmosys.co/incident-reporter/incident-reporter-angular-portal", "OQSHA Portal")</f>
        <v/>
      </c>
      <c r="F1051">
        <f>HYPERLINK("http://gitlab.osmosys.co/incident-reporter/incident-reporter-angular-portal/-/merge_requests/3407", "feat: add department association to tickets")</f>
        <v/>
      </c>
      <c r="G1051" t="inlineStr">
        <is>
          <t>feat/department-tickets</t>
        </is>
      </c>
      <c r="H1051" t="inlineStr">
        <is>
          <t>sprint-17</t>
        </is>
      </c>
      <c r="I1051" t="inlineStr">
        <is>
          <t>merged</t>
        </is>
      </c>
      <c r="J1051" t="inlineStr">
        <is>
          <t>fb1b618f4dc627ff9b78466c011a625c280df39b</t>
        </is>
      </c>
      <c r="K1051">
        <f>HYPERLINK("http://gitlab.osmosys.co/incident-reporter/incident-reporter-angular-portal/-/merge_requests/3407#note_235832", "Created a seprate function for this")</f>
        <v/>
      </c>
      <c r="L1051" t="inlineStr">
        <is>
          <t>2025-07-14 12:16:33.182 IST</t>
        </is>
      </c>
      <c r="M1051" t="inlineStr">
        <is>
          <t>Kulsrestha Joshi</t>
        </is>
      </c>
      <c r="N1051" t="inlineStr">
        <is>
          <t>No</t>
        </is>
      </c>
      <c r="O1051" t="inlineStr">
        <is>
          <t>Yes</t>
        </is>
      </c>
      <c r="P1051" t="inlineStr">
        <is>
          <t>Soundariya B</t>
        </is>
      </c>
      <c r="Q1051" t="inlineStr">
        <is>
          <t>Bad</t>
        </is>
      </c>
    </row>
    <row r="1052">
      <c r="A1052" t="inlineStr">
        <is>
          <t>kulsrestha.j</t>
        </is>
      </c>
      <c r="B1052" t="inlineStr">
        <is>
          <t>Kulsrestha Joshi</t>
        </is>
      </c>
      <c r="C1052" t="inlineStr">
        <is>
          <t>kulsrestha.j@osmosys.co</t>
        </is>
      </c>
      <c r="D1052" t="inlineStr">
        <is>
          <t>incident-reporter</t>
        </is>
      </c>
      <c r="E1052">
        <f>HYPERLINK("http://gitlab.osmosys.co/incident-reporter/incident-reporter-angular-portal", "OQSHA Portal")</f>
        <v/>
      </c>
      <c r="F1052">
        <f>HYPERLINK("http://gitlab.osmosys.co/incident-reporter/incident-reporter-angular-portal/-/merge_requests/3407", "feat: add department association to tickets")</f>
        <v/>
      </c>
      <c r="G1052" t="inlineStr">
        <is>
          <t>feat/department-tickets</t>
        </is>
      </c>
      <c r="H1052" t="inlineStr">
        <is>
          <t>sprint-17</t>
        </is>
      </c>
      <c r="I1052" t="inlineStr">
        <is>
          <t>merged</t>
        </is>
      </c>
      <c r="J1052" t="inlineStr">
        <is>
          <t>dbe4842d8b2fc3b2d68f072e16963d48e2db0f15</t>
        </is>
      </c>
      <c r="K1052">
        <f>HYPERLINK("http://gitlab.osmosys.co/incident-reporter/incident-reporter-angular-portal/-/merge_requests/3407#note_235629", "code repetition of these please reuse and improve it")</f>
        <v/>
      </c>
      <c r="L1052" t="inlineStr">
        <is>
          <t>2025-07-12 01:46:55.657 IST</t>
        </is>
      </c>
      <c r="M1052" t="inlineStr">
        <is>
          <t>Soundariya B</t>
        </is>
      </c>
      <c r="N1052" t="inlineStr">
        <is>
          <t>Yes</t>
        </is>
      </c>
      <c r="O1052" t="inlineStr">
        <is>
          <t>Yes</t>
        </is>
      </c>
      <c r="P1052" t="inlineStr">
        <is>
          <t>Soundariya B</t>
        </is>
      </c>
      <c r="Q1052" t="inlineStr">
        <is>
          <t>Bad</t>
        </is>
      </c>
    </row>
    <row r="1053">
      <c r="A1053" t="inlineStr">
        <is>
          <t>kulsrestha.j</t>
        </is>
      </c>
      <c r="B1053" t="inlineStr">
        <is>
          <t>Kulsrestha Joshi</t>
        </is>
      </c>
      <c r="C1053" t="inlineStr">
        <is>
          <t>kulsrestha.j@osmosys.co</t>
        </is>
      </c>
      <c r="D1053" t="inlineStr">
        <is>
          <t>incident-reporter</t>
        </is>
      </c>
      <c r="E1053">
        <f>HYPERLINK("http://gitlab.osmosys.co/incident-reporter/incident-reporter-angular-portal", "OQSHA Portal")</f>
        <v/>
      </c>
      <c r="F1053">
        <f>HYPERLINK("http://gitlab.osmosys.co/incident-reporter/incident-reporter-angular-portal/-/merge_requests/3407", "feat: add department association to tickets")</f>
        <v/>
      </c>
      <c r="G1053" t="inlineStr">
        <is>
          <t>feat/department-tickets</t>
        </is>
      </c>
      <c r="H1053" t="inlineStr">
        <is>
          <t>sprint-17</t>
        </is>
      </c>
      <c r="I1053" t="inlineStr">
        <is>
          <t>merged</t>
        </is>
      </c>
      <c r="J1053" t="inlineStr">
        <is>
          <t>dbe4842d8b2fc3b2d68f072e16963d48e2db0f15</t>
        </is>
      </c>
      <c r="K1053">
        <f>HYPERLINK("http://gitlab.osmosys.co/incident-reporter/incident-reporter-angular-portal/-/merge_requests/3407#note_235833", "Reused")</f>
        <v/>
      </c>
      <c r="L1053" t="inlineStr">
        <is>
          <t>2025-07-14 12:17:52.655 IST</t>
        </is>
      </c>
      <c r="M1053" t="inlineStr">
        <is>
          <t>Kulsrestha Joshi</t>
        </is>
      </c>
      <c r="N1053" t="inlineStr">
        <is>
          <t>No</t>
        </is>
      </c>
      <c r="O1053" t="inlineStr">
        <is>
          <t>Yes</t>
        </is>
      </c>
      <c r="P1053" t="inlineStr">
        <is>
          <t>Soundariya B</t>
        </is>
      </c>
      <c r="Q1053" t="inlineStr">
        <is>
          <t>Bad</t>
        </is>
      </c>
    </row>
    <row r="1054">
      <c r="A1054" t="inlineStr">
        <is>
          <t>kulsrestha.j</t>
        </is>
      </c>
      <c r="B1054" t="inlineStr">
        <is>
          <t>Kulsrestha Joshi</t>
        </is>
      </c>
      <c r="C1054" t="inlineStr">
        <is>
          <t>kulsrestha.j@osmosys.co</t>
        </is>
      </c>
      <c r="D1054" t="inlineStr">
        <is>
          <t>incident-reporter</t>
        </is>
      </c>
      <c r="E1054">
        <f>HYPERLINK("http://gitlab.osmosys.co/incident-reporter/incident-reporter-angular-portal", "OQSHA Portal")</f>
        <v/>
      </c>
      <c r="F1054">
        <f>HYPERLINK("http://gitlab.osmosys.co/incident-reporter/incident-reporter-angular-portal/-/merge_requests/3407", "feat: add department association to tickets")</f>
        <v/>
      </c>
      <c r="G1054" t="inlineStr">
        <is>
          <t>feat/department-tickets</t>
        </is>
      </c>
      <c r="H1054" t="inlineStr">
        <is>
          <t>sprint-17</t>
        </is>
      </c>
      <c r="I1054" t="inlineStr">
        <is>
          <t>merged</t>
        </is>
      </c>
      <c r="J1054" t="inlineStr">
        <is>
          <t>39abfaac9dfb608d49941372184879ff2f6c62c5</t>
        </is>
      </c>
      <c r="K1054">
        <f>HYPERLINK("http://gitlab.osmosys.co/incident-reporter/incident-reporter-angular-portal/-/merge_requests/3407#note_236221", "We don't anything related clinic in our app so the variable name should change")</f>
        <v/>
      </c>
      <c r="L1054" t="inlineStr">
        <is>
          <t>2025-07-14 16:49:03.091 IST</t>
        </is>
      </c>
      <c r="M1054" t="inlineStr">
        <is>
          <t>Soundariya B</t>
        </is>
      </c>
      <c r="N1054" t="inlineStr">
        <is>
          <t>Yes</t>
        </is>
      </c>
      <c r="O1054" t="inlineStr">
        <is>
          <t>Yes</t>
        </is>
      </c>
      <c r="P1054" t="inlineStr">
        <is>
          <t>Soundariya B</t>
        </is>
      </c>
      <c r="Q1054" t="inlineStr">
        <is>
          <t>Bad</t>
        </is>
      </c>
    </row>
    <row r="1055">
      <c r="A1055" t="inlineStr">
        <is>
          <t>kulsrestha.j</t>
        </is>
      </c>
      <c r="B1055" t="inlineStr">
        <is>
          <t>Kulsrestha Joshi</t>
        </is>
      </c>
      <c r="C1055" t="inlineStr">
        <is>
          <t>kulsrestha.j@osmosys.co</t>
        </is>
      </c>
      <c r="D1055" t="inlineStr">
        <is>
          <t>incident-reporter</t>
        </is>
      </c>
      <c r="E1055">
        <f>HYPERLINK("http://gitlab.osmosys.co/incident-reporter/incident-reporter-angular-portal", "OQSHA Portal")</f>
        <v/>
      </c>
      <c r="F1055">
        <f>HYPERLINK("http://gitlab.osmosys.co/incident-reporter/incident-reporter-angular-portal/-/merge_requests/3407", "feat: add department association to tickets")</f>
        <v/>
      </c>
      <c r="G1055" t="inlineStr">
        <is>
          <t>feat/department-tickets</t>
        </is>
      </c>
      <c r="H1055" t="inlineStr">
        <is>
          <t>sprint-17</t>
        </is>
      </c>
      <c r="I1055" t="inlineStr">
        <is>
          <t>merged</t>
        </is>
      </c>
      <c r="J1055" t="inlineStr">
        <is>
          <t>39abfaac9dfb608d49941372184879ff2f6c62c5</t>
        </is>
      </c>
      <c r="K1055">
        <f>HYPERLINK("http://gitlab.osmosys.co/incident-reporter/incident-reporter-angular-portal/-/merge_requests/3407#note_236240", "updated")</f>
        <v/>
      </c>
      <c r="L1055" t="inlineStr">
        <is>
          <t>2025-07-14 16:54:12.456 IST</t>
        </is>
      </c>
      <c r="M1055" t="inlineStr">
        <is>
          <t>Kulsrestha Joshi</t>
        </is>
      </c>
      <c r="N1055" t="inlineStr">
        <is>
          <t>No</t>
        </is>
      </c>
      <c r="O1055" t="inlineStr">
        <is>
          <t>Yes</t>
        </is>
      </c>
      <c r="P1055" t="inlineStr">
        <is>
          <t>Soundariya B</t>
        </is>
      </c>
      <c r="Q1055" t="inlineStr">
        <is>
          <t>Bad</t>
        </is>
      </c>
    </row>
    <row r="1056">
      <c r="A1056" t="inlineStr">
        <is>
          <t>kulsrestha.j</t>
        </is>
      </c>
      <c r="B1056" t="inlineStr">
        <is>
          <t>Kulsrestha Joshi</t>
        </is>
      </c>
      <c r="C1056" t="inlineStr">
        <is>
          <t>kulsrestha.j@osmosys.co</t>
        </is>
      </c>
      <c r="D1056" t="inlineStr">
        <is>
          <t>incident-reporter</t>
        </is>
      </c>
      <c r="E1056">
        <f>HYPERLINK("http://gitlab.osmosys.co/incident-reporter/incident-reporter-angular-portal", "OQSHA Portal")</f>
        <v/>
      </c>
      <c r="F1056">
        <f>HYPERLINK("http://gitlab.osmosys.co/incident-reporter/incident-reporter-angular-portal/-/merge_requests/3407", "feat: add department association to tickets")</f>
        <v/>
      </c>
      <c r="G1056" t="inlineStr">
        <is>
          <t>feat/department-tickets</t>
        </is>
      </c>
      <c r="H1056" t="inlineStr">
        <is>
          <t>sprint-17</t>
        </is>
      </c>
      <c r="I1056" t="inlineStr">
        <is>
          <t>merged</t>
        </is>
      </c>
      <c r="J1056" t="inlineStr">
        <is>
          <t>5e4dbab08f135f61365dfd0aee08087308a8ab3c</t>
        </is>
      </c>
      <c r="K1056">
        <f>HYPERLINK("http://gitlab.osmosys.co/incident-reporter/incident-reporter-angular-portal/-/merge_requests/3407#note_236222", "We don't anything related clinic in our app so the variable name should change")</f>
        <v/>
      </c>
      <c r="L1056" t="inlineStr">
        <is>
          <t>2025-07-14 16:49:03.145 IST</t>
        </is>
      </c>
      <c r="M1056" t="inlineStr">
        <is>
          <t>Soundariya B</t>
        </is>
      </c>
      <c r="N1056" t="inlineStr">
        <is>
          <t>Yes</t>
        </is>
      </c>
      <c r="O1056" t="inlineStr">
        <is>
          <t>Yes</t>
        </is>
      </c>
      <c r="P1056" t="inlineStr">
        <is>
          <t>Soundariya B</t>
        </is>
      </c>
      <c r="Q1056" t="inlineStr">
        <is>
          <t>Bad</t>
        </is>
      </c>
    </row>
    <row r="1057">
      <c r="A1057" t="inlineStr">
        <is>
          <t>kulsrestha.j</t>
        </is>
      </c>
      <c r="B1057" t="inlineStr">
        <is>
          <t>Kulsrestha Joshi</t>
        </is>
      </c>
      <c r="C1057" t="inlineStr">
        <is>
          <t>kulsrestha.j@osmosys.co</t>
        </is>
      </c>
      <c r="D1057" t="inlineStr">
        <is>
          <t>incident-reporter</t>
        </is>
      </c>
      <c r="E1057">
        <f>HYPERLINK("http://gitlab.osmosys.co/incident-reporter/incident-reporter-angular-portal", "OQSHA Portal")</f>
        <v/>
      </c>
      <c r="F1057">
        <f>HYPERLINK("http://gitlab.osmosys.co/incident-reporter/incident-reporter-angular-portal/-/merge_requests/3407", "feat: add department association to tickets")</f>
        <v/>
      </c>
      <c r="G1057" t="inlineStr">
        <is>
          <t>feat/department-tickets</t>
        </is>
      </c>
      <c r="H1057" t="inlineStr">
        <is>
          <t>sprint-17</t>
        </is>
      </c>
      <c r="I1057" t="inlineStr">
        <is>
          <t>merged</t>
        </is>
      </c>
      <c r="J1057" t="inlineStr">
        <is>
          <t>5e4dbab08f135f61365dfd0aee08087308a8ab3c</t>
        </is>
      </c>
      <c r="K1057">
        <f>HYPERLINK("http://gitlab.osmosys.co/incident-reporter/incident-reporter-angular-portal/-/merge_requests/3407#note_236239", "updated")</f>
        <v/>
      </c>
      <c r="L1057" t="inlineStr">
        <is>
          <t>2025-07-14 16:54:08.198 IST</t>
        </is>
      </c>
      <c r="M1057" t="inlineStr">
        <is>
          <t>Kulsrestha Joshi</t>
        </is>
      </c>
      <c r="N1057" t="inlineStr">
        <is>
          <t>No</t>
        </is>
      </c>
      <c r="O1057" t="inlineStr">
        <is>
          <t>Yes</t>
        </is>
      </c>
      <c r="P1057" t="inlineStr">
        <is>
          <t>Soundariya B</t>
        </is>
      </c>
      <c r="Q1057" t="inlineStr">
        <is>
          <t>Bad</t>
        </is>
      </c>
    </row>
    <row r="1058">
      <c r="A1058" t="inlineStr">
        <is>
          <t>kulsrestha.j</t>
        </is>
      </c>
      <c r="B1058" t="inlineStr">
        <is>
          <t>Kulsrestha Joshi</t>
        </is>
      </c>
      <c r="C1058" t="inlineStr">
        <is>
          <t>kulsrestha.j@osmosys.co</t>
        </is>
      </c>
      <c r="D1058" t="inlineStr">
        <is>
          <t>incident-reporter</t>
        </is>
      </c>
      <c r="E1058">
        <f>HYPERLINK("http://gitlab.osmosys.co/incident-reporter/incident-reporter-angular-portal", "OQSHA Portal")</f>
        <v/>
      </c>
      <c r="F1058">
        <f>HYPERLINK("http://gitlab.osmosys.co/incident-reporter/incident-reporter-angular-portal/-/merge_requests/3407", "feat: add department association to tickets")</f>
        <v/>
      </c>
      <c r="G1058" t="inlineStr">
        <is>
          <t>feat/department-tickets</t>
        </is>
      </c>
      <c r="H1058" t="inlineStr">
        <is>
          <t>sprint-17</t>
        </is>
      </c>
      <c r="I1058" t="inlineStr">
        <is>
          <t>merged</t>
        </is>
      </c>
      <c r="J1058" t="inlineStr">
        <is>
          <t>465b2108f8096edc0277e68ef84c27e0cd3d6895</t>
        </is>
      </c>
      <c r="K1058">
        <f>HYPERLINK("http://gitlab.osmosys.co/incident-reporter/incident-reporter-angular-portal/-/merge_requests/3407#note_236223", "We don't anything related clinic in our app so the variable name should change")</f>
        <v/>
      </c>
      <c r="L1058" t="inlineStr">
        <is>
          <t>2025-07-14 16:49:03.230 IST</t>
        </is>
      </c>
      <c r="M1058" t="inlineStr">
        <is>
          <t>Soundariya B</t>
        </is>
      </c>
      <c r="N1058" t="inlineStr">
        <is>
          <t>Yes</t>
        </is>
      </c>
      <c r="O1058" t="inlineStr">
        <is>
          <t>Yes</t>
        </is>
      </c>
      <c r="P1058" t="inlineStr">
        <is>
          <t>Soundariya B</t>
        </is>
      </c>
      <c r="Q1058" t="inlineStr">
        <is>
          <t>Bad</t>
        </is>
      </c>
    </row>
    <row r="1059">
      <c r="A1059" t="inlineStr">
        <is>
          <t>kulsrestha.j</t>
        </is>
      </c>
      <c r="B1059" t="inlineStr">
        <is>
          <t>Kulsrestha Joshi</t>
        </is>
      </c>
      <c r="C1059" t="inlineStr">
        <is>
          <t>kulsrestha.j@osmosys.co</t>
        </is>
      </c>
      <c r="D1059" t="inlineStr">
        <is>
          <t>incident-reporter</t>
        </is>
      </c>
      <c r="E1059">
        <f>HYPERLINK("http://gitlab.osmosys.co/incident-reporter/incident-reporter-angular-portal", "OQSHA Portal")</f>
        <v/>
      </c>
      <c r="F1059">
        <f>HYPERLINK("http://gitlab.osmosys.co/incident-reporter/incident-reporter-angular-portal/-/merge_requests/3407", "feat: add department association to tickets")</f>
        <v/>
      </c>
      <c r="G1059" t="inlineStr">
        <is>
          <t>feat/department-tickets</t>
        </is>
      </c>
      <c r="H1059" t="inlineStr">
        <is>
          <t>sprint-17</t>
        </is>
      </c>
      <c r="I1059" t="inlineStr">
        <is>
          <t>merged</t>
        </is>
      </c>
      <c r="J1059" t="inlineStr">
        <is>
          <t>465b2108f8096edc0277e68ef84c27e0cd3d6895</t>
        </is>
      </c>
      <c r="K1059">
        <f>HYPERLINK("http://gitlab.osmosys.co/incident-reporter/incident-reporter-angular-portal/-/merge_requests/3407#note_236238", "updated")</f>
        <v/>
      </c>
      <c r="L1059" t="inlineStr">
        <is>
          <t>2025-07-14 16:54:03.895 IST</t>
        </is>
      </c>
      <c r="M1059" t="inlineStr">
        <is>
          <t>Kulsrestha Joshi</t>
        </is>
      </c>
      <c r="N1059" t="inlineStr">
        <is>
          <t>No</t>
        </is>
      </c>
      <c r="O1059" t="inlineStr">
        <is>
          <t>Yes</t>
        </is>
      </c>
      <c r="P1059" t="inlineStr">
        <is>
          <t>Soundariya B</t>
        </is>
      </c>
      <c r="Q1059" t="inlineStr">
        <is>
          <t>Bad</t>
        </is>
      </c>
    </row>
    <row r="1060">
      <c r="A1060" t="inlineStr">
        <is>
          <t>kulsrestha.j</t>
        </is>
      </c>
      <c r="B1060" t="inlineStr">
        <is>
          <t>Kulsrestha Joshi</t>
        </is>
      </c>
      <c r="C1060" t="inlineStr">
        <is>
          <t>kulsrestha.j@osmosys.co</t>
        </is>
      </c>
      <c r="D1060" t="inlineStr">
        <is>
          <t>incident-reporter</t>
        </is>
      </c>
      <c r="E1060">
        <f>HYPERLINK("http://gitlab.osmosys.co/incident-reporter/incident-reporter-angular-portal", "OQSHA Portal")</f>
        <v/>
      </c>
      <c r="F1060">
        <f>HYPERLINK("http://gitlab.osmosys.co/incident-reporter/incident-reporter-angular-portal/-/merge_requests/3407", "feat: add department association to tickets")</f>
        <v/>
      </c>
      <c r="G1060" t="inlineStr">
        <is>
          <t>feat/department-tickets</t>
        </is>
      </c>
      <c r="H1060" t="inlineStr">
        <is>
          <t>sprint-17</t>
        </is>
      </c>
      <c r="I1060" t="inlineStr">
        <is>
          <t>merged</t>
        </is>
      </c>
      <c r="J1060" t="inlineStr">
        <is>
          <t>e592530ab0bbe0c695100eac5b4e0380346c9bba</t>
        </is>
      </c>
      <c r="K1060">
        <f>HYPERLINK("http://gitlab.osmosys.co/incident-reporter/incident-reporter-angular-portal/-/merge_requests/3407#note_236224", "We don't anything related clinic in our app so the variable name should change")</f>
        <v/>
      </c>
      <c r="L1060" t="inlineStr">
        <is>
          <t>2025-07-14 16:49:03.302 IST</t>
        </is>
      </c>
      <c r="M1060" t="inlineStr">
        <is>
          <t>Soundariya B</t>
        </is>
      </c>
      <c r="N1060" t="inlineStr">
        <is>
          <t>Yes</t>
        </is>
      </c>
      <c r="O1060" t="inlineStr">
        <is>
          <t>Yes</t>
        </is>
      </c>
      <c r="P1060" t="inlineStr">
        <is>
          <t>Soundariya B</t>
        </is>
      </c>
      <c r="Q1060" t="inlineStr">
        <is>
          <t>Bad</t>
        </is>
      </c>
    </row>
    <row r="1061">
      <c r="A1061" t="inlineStr">
        <is>
          <t>kulsrestha.j</t>
        </is>
      </c>
      <c r="B1061" t="inlineStr">
        <is>
          <t>Kulsrestha Joshi</t>
        </is>
      </c>
      <c r="C1061" t="inlineStr">
        <is>
          <t>kulsrestha.j@osmosys.co</t>
        </is>
      </c>
      <c r="D1061" t="inlineStr">
        <is>
          <t>incident-reporter</t>
        </is>
      </c>
      <c r="E1061">
        <f>HYPERLINK("http://gitlab.osmosys.co/incident-reporter/incident-reporter-angular-portal", "OQSHA Portal")</f>
        <v/>
      </c>
      <c r="F1061">
        <f>HYPERLINK("http://gitlab.osmosys.co/incident-reporter/incident-reporter-angular-portal/-/merge_requests/3407", "feat: add department association to tickets")</f>
        <v/>
      </c>
      <c r="G1061" t="inlineStr">
        <is>
          <t>feat/department-tickets</t>
        </is>
      </c>
      <c r="H1061" t="inlineStr">
        <is>
          <t>sprint-17</t>
        </is>
      </c>
      <c r="I1061" t="inlineStr">
        <is>
          <t>merged</t>
        </is>
      </c>
      <c r="J1061" t="inlineStr">
        <is>
          <t>e592530ab0bbe0c695100eac5b4e0380346c9bba</t>
        </is>
      </c>
      <c r="K1061">
        <f>HYPERLINK("http://gitlab.osmosys.co/incident-reporter/incident-reporter-angular-portal/-/merge_requests/3407#note_236237", "updated in all")</f>
        <v/>
      </c>
      <c r="L1061" t="inlineStr">
        <is>
          <t>2025-07-14 16:53:59.181 IST</t>
        </is>
      </c>
      <c r="M1061" t="inlineStr">
        <is>
          <t>Kulsrestha Joshi</t>
        </is>
      </c>
      <c r="N1061" t="inlineStr">
        <is>
          <t>No</t>
        </is>
      </c>
      <c r="O1061" t="inlineStr">
        <is>
          <t>Yes</t>
        </is>
      </c>
      <c r="P1061" t="inlineStr">
        <is>
          <t>Soundariya B</t>
        </is>
      </c>
      <c r="Q1061" t="inlineStr">
        <is>
          <t>Bad</t>
        </is>
      </c>
    </row>
    <row r="1062">
      <c r="A1062" t="inlineStr">
        <is>
          <t>kulsrestha.j</t>
        </is>
      </c>
      <c r="B1062" t="inlineStr">
        <is>
          <t>Kulsrestha Joshi</t>
        </is>
      </c>
      <c r="C1062" t="inlineStr">
        <is>
          <t>kulsrestha.j@osmosys.co</t>
        </is>
      </c>
      <c r="D1062" t="inlineStr">
        <is>
          <t>incident-reporter</t>
        </is>
      </c>
      <c r="E1062">
        <f>HYPERLINK("http://gitlab.osmosys.co/incident-reporter/incident-reporter-angular-portal", "OQSHA Portal")</f>
        <v/>
      </c>
      <c r="F1062">
        <f>HYPERLINK("http://gitlab.osmosys.co/incident-reporter/incident-reporter-angular-portal/-/merge_requests/3407", "feat: add department association to tickets")</f>
        <v/>
      </c>
      <c r="G1062" t="inlineStr">
        <is>
          <t>feat/department-tickets</t>
        </is>
      </c>
      <c r="H1062" t="inlineStr">
        <is>
          <t>sprint-17</t>
        </is>
      </c>
      <c r="I1062" t="inlineStr">
        <is>
          <t>merged</t>
        </is>
      </c>
      <c r="J1062" t="inlineStr">
        <is>
          <t>82f1f5464cad3e4c9994406f855e38d68e9a8870</t>
        </is>
      </c>
      <c r="K1062">
        <f>HYPERLINK("http://gitlab.osmosys.co/incident-reporter/incident-reporter-angular-portal/-/merge_requests/3407#note_236225", "We don't anything related clinic in our app so the variable name should change")</f>
        <v/>
      </c>
      <c r="L1062" t="inlineStr">
        <is>
          <t>2025-07-14 16:49:03.375 IST</t>
        </is>
      </c>
      <c r="M1062" t="inlineStr">
        <is>
          <t>Soundariya B</t>
        </is>
      </c>
      <c r="N1062" t="inlineStr">
        <is>
          <t>Yes</t>
        </is>
      </c>
      <c r="O1062" t="inlineStr">
        <is>
          <t>Yes</t>
        </is>
      </c>
      <c r="P1062" t="inlineStr">
        <is>
          <t>Soundariya B</t>
        </is>
      </c>
      <c r="Q1062" t="inlineStr">
        <is>
          <t>Bad</t>
        </is>
      </c>
    </row>
    <row r="1063">
      <c r="A1063" t="inlineStr">
        <is>
          <t>kulsrestha.j</t>
        </is>
      </c>
      <c r="B1063" t="inlineStr">
        <is>
          <t>Kulsrestha Joshi</t>
        </is>
      </c>
      <c r="C1063" t="inlineStr">
        <is>
          <t>kulsrestha.j@osmosys.co</t>
        </is>
      </c>
      <c r="D1063" t="inlineStr">
        <is>
          <t>incident-reporter</t>
        </is>
      </c>
      <c r="E1063">
        <f>HYPERLINK("http://gitlab.osmosys.co/incident-reporter/incident-reporter-angular-portal", "OQSHA Portal")</f>
        <v/>
      </c>
      <c r="F1063">
        <f>HYPERLINK("http://gitlab.osmosys.co/incident-reporter/incident-reporter-angular-portal/-/merge_requests/3407", "feat: add department association to tickets")</f>
        <v/>
      </c>
      <c r="G1063" t="inlineStr">
        <is>
          <t>feat/department-tickets</t>
        </is>
      </c>
      <c r="H1063" t="inlineStr">
        <is>
          <t>sprint-17</t>
        </is>
      </c>
      <c r="I1063" t="inlineStr">
        <is>
          <t>merged</t>
        </is>
      </c>
      <c r="J1063" t="inlineStr">
        <is>
          <t>82f1f5464cad3e4c9994406f855e38d68e9a8870</t>
        </is>
      </c>
      <c r="K1063">
        <f>HYPERLINK("http://gitlab.osmosys.co/incident-reporter/incident-reporter-angular-portal/-/merge_requests/3407#note_236236", "updated in all")</f>
        <v/>
      </c>
      <c r="L1063" t="inlineStr">
        <is>
          <t>2025-07-14 16:53:53.836 IST</t>
        </is>
      </c>
      <c r="M1063" t="inlineStr">
        <is>
          <t>Kulsrestha Joshi</t>
        </is>
      </c>
      <c r="N1063" t="inlineStr">
        <is>
          <t>No</t>
        </is>
      </c>
      <c r="O1063" t="inlineStr">
        <is>
          <t>Yes</t>
        </is>
      </c>
      <c r="P1063" t="inlineStr">
        <is>
          <t>Soundariya B</t>
        </is>
      </c>
      <c r="Q1063" t="inlineStr">
        <is>
          <t>Bad</t>
        </is>
      </c>
    </row>
    <row r="1064">
      <c r="A1064" t="inlineStr">
        <is>
          <t>kulsrestha.j</t>
        </is>
      </c>
      <c r="B1064" t="inlineStr">
        <is>
          <t>Kulsrestha Joshi</t>
        </is>
      </c>
      <c r="C1064" t="inlineStr">
        <is>
          <t>kulsrestha.j@osmosys.co</t>
        </is>
      </c>
      <c r="D1064" t="inlineStr">
        <is>
          <t>incident-reporter</t>
        </is>
      </c>
      <c r="E1064">
        <f>HYPERLINK("http://gitlab.osmosys.co/incident-reporter/incident-reporter-angular-portal", "OQSHA Portal")</f>
        <v/>
      </c>
      <c r="F1064">
        <f>HYPERLINK("http://gitlab.osmosys.co/incident-reporter/incident-reporter-angular-portal/-/merge_requests/3407", "feat: add department association to tickets")</f>
        <v/>
      </c>
      <c r="G1064" t="inlineStr">
        <is>
          <t>feat/department-tickets</t>
        </is>
      </c>
      <c r="H1064" t="inlineStr">
        <is>
          <t>sprint-17</t>
        </is>
      </c>
      <c r="I1064" t="inlineStr">
        <is>
          <t>merged</t>
        </is>
      </c>
      <c r="J1064" t="inlineStr">
        <is>
          <t>996fad1ddaefbe3219dd6b0dbe7653184831c67c</t>
        </is>
      </c>
      <c r="K1064">
        <f>HYPERLINK("http://gitlab.osmosys.co/incident-reporter/incident-reporter-angular-portal/-/merge_requests/3407#note_236226", "We don't anything related clinic in our app so the variable name should change")</f>
        <v/>
      </c>
      <c r="L1064" t="inlineStr">
        <is>
          <t>2025-07-14 16:49:03.447 IST</t>
        </is>
      </c>
      <c r="M1064" t="inlineStr">
        <is>
          <t>Soundariya B</t>
        </is>
      </c>
      <c r="N1064" t="inlineStr">
        <is>
          <t>Yes</t>
        </is>
      </c>
      <c r="O1064" t="inlineStr">
        <is>
          <t>Yes</t>
        </is>
      </c>
      <c r="P1064" t="inlineStr">
        <is>
          <t>Soundariya B</t>
        </is>
      </c>
      <c r="Q1064" t="inlineStr">
        <is>
          <t>Bad</t>
        </is>
      </c>
    </row>
    <row r="1065">
      <c r="A1065" t="inlineStr">
        <is>
          <t>kulsrestha.j</t>
        </is>
      </c>
      <c r="B1065" t="inlineStr">
        <is>
          <t>Kulsrestha Joshi</t>
        </is>
      </c>
      <c r="C1065" t="inlineStr">
        <is>
          <t>kulsrestha.j@osmosys.co</t>
        </is>
      </c>
      <c r="D1065" t="inlineStr">
        <is>
          <t>incident-reporter</t>
        </is>
      </c>
      <c r="E1065">
        <f>HYPERLINK("http://gitlab.osmosys.co/incident-reporter/incident-reporter-angular-portal", "OQSHA Portal")</f>
        <v/>
      </c>
      <c r="F1065">
        <f>HYPERLINK("http://gitlab.osmosys.co/incident-reporter/incident-reporter-angular-portal/-/merge_requests/3407", "feat: add department association to tickets")</f>
        <v/>
      </c>
      <c r="G1065" t="inlineStr">
        <is>
          <t>feat/department-tickets</t>
        </is>
      </c>
      <c r="H1065" t="inlineStr">
        <is>
          <t>sprint-17</t>
        </is>
      </c>
      <c r="I1065" t="inlineStr">
        <is>
          <t>merged</t>
        </is>
      </c>
      <c r="J1065" t="inlineStr">
        <is>
          <t>996fad1ddaefbe3219dd6b0dbe7653184831c67c</t>
        </is>
      </c>
      <c r="K1065">
        <f>HYPERLINK("http://gitlab.osmosys.co/incident-reporter/incident-reporter-angular-portal/-/merge_requests/3407#note_236235", "updated in all")</f>
        <v/>
      </c>
      <c r="L1065" t="inlineStr">
        <is>
          <t>2025-07-14 16:53:48.724 IST</t>
        </is>
      </c>
      <c r="M1065" t="inlineStr">
        <is>
          <t>Kulsrestha Joshi</t>
        </is>
      </c>
      <c r="N1065" t="inlineStr">
        <is>
          <t>No</t>
        </is>
      </c>
      <c r="O1065" t="inlineStr">
        <is>
          <t>Yes</t>
        </is>
      </c>
      <c r="P1065" t="inlineStr">
        <is>
          <t>Soundariya B</t>
        </is>
      </c>
      <c r="Q1065" t="inlineStr">
        <is>
          <t>Bad</t>
        </is>
      </c>
    </row>
    <row r="1066">
      <c r="A1066" t="inlineStr">
        <is>
          <t>kulsrestha.j</t>
        </is>
      </c>
      <c r="B1066" t="inlineStr">
        <is>
          <t>Kulsrestha Joshi</t>
        </is>
      </c>
      <c r="C1066" t="inlineStr">
        <is>
          <t>kulsrestha.j@osmosys.co</t>
        </is>
      </c>
      <c r="D1066" t="inlineStr">
        <is>
          <t>incident-reporter</t>
        </is>
      </c>
      <c r="E1066">
        <f>HYPERLINK("http://gitlab.osmosys.co/incident-reporter/incident-reporter-angular-portal", "OQSHA Portal")</f>
        <v/>
      </c>
      <c r="F1066">
        <f>HYPERLINK("http://gitlab.osmosys.co/incident-reporter/incident-reporter-angular-portal/-/merge_requests/3407", "feat: add department association to tickets")</f>
        <v/>
      </c>
      <c r="G1066" t="inlineStr">
        <is>
          <t>feat/department-tickets</t>
        </is>
      </c>
      <c r="H1066" t="inlineStr">
        <is>
          <t>sprint-17</t>
        </is>
      </c>
      <c r="I1066" t="inlineStr">
        <is>
          <t>merged</t>
        </is>
      </c>
      <c r="J1066" t="inlineStr">
        <is>
          <t>a65edcd3e79684590105b9b661aa4b06688e9131</t>
        </is>
      </c>
      <c r="K1066">
        <f>HYPERLINK("http://gitlab.osmosys.co/incident-reporter/incident-reporter-angular-portal/-/merge_requests/3407#note_236227", "We don't anything related clinic in our app so the variable name should change")</f>
        <v/>
      </c>
      <c r="L1066" t="inlineStr">
        <is>
          <t>2025-07-14 16:49:03.519 IST</t>
        </is>
      </c>
      <c r="M1066" t="inlineStr">
        <is>
          <t>Soundariya B</t>
        </is>
      </c>
      <c r="N1066" t="inlineStr">
        <is>
          <t>Yes</t>
        </is>
      </c>
      <c r="O1066" t="inlineStr">
        <is>
          <t>Yes</t>
        </is>
      </c>
      <c r="P1066" t="inlineStr">
        <is>
          <t>Soundariya B</t>
        </is>
      </c>
      <c r="Q1066" t="inlineStr">
        <is>
          <t>Bad</t>
        </is>
      </c>
    </row>
    <row r="1067">
      <c r="A1067" t="inlineStr">
        <is>
          <t>kulsrestha.j</t>
        </is>
      </c>
      <c r="B1067" t="inlineStr">
        <is>
          <t>Kulsrestha Joshi</t>
        </is>
      </c>
      <c r="C1067" t="inlineStr">
        <is>
          <t>kulsrestha.j@osmosys.co</t>
        </is>
      </c>
      <c r="D1067" t="inlineStr">
        <is>
          <t>incident-reporter</t>
        </is>
      </c>
      <c r="E1067">
        <f>HYPERLINK("http://gitlab.osmosys.co/incident-reporter/incident-reporter-angular-portal", "OQSHA Portal")</f>
        <v/>
      </c>
      <c r="F1067">
        <f>HYPERLINK("http://gitlab.osmosys.co/incident-reporter/incident-reporter-angular-portal/-/merge_requests/3407", "feat: add department association to tickets")</f>
        <v/>
      </c>
      <c r="G1067" t="inlineStr">
        <is>
          <t>feat/department-tickets</t>
        </is>
      </c>
      <c r="H1067" t="inlineStr">
        <is>
          <t>sprint-17</t>
        </is>
      </c>
      <c r="I1067" t="inlineStr">
        <is>
          <t>merged</t>
        </is>
      </c>
      <c r="J1067" t="inlineStr">
        <is>
          <t>a65edcd3e79684590105b9b661aa4b06688e9131</t>
        </is>
      </c>
      <c r="K1067">
        <f>HYPERLINK("http://gitlab.osmosys.co/incident-reporter/incident-reporter-angular-portal/-/merge_requests/3407#note_236234", "updated in all")</f>
        <v/>
      </c>
      <c r="L1067" t="inlineStr">
        <is>
          <t>2025-07-14 16:53:41.919 IST</t>
        </is>
      </c>
      <c r="M1067" t="inlineStr">
        <is>
          <t>Kulsrestha Joshi</t>
        </is>
      </c>
      <c r="N1067" t="inlineStr">
        <is>
          <t>No</t>
        </is>
      </c>
      <c r="O1067" t="inlineStr">
        <is>
          <t>Yes</t>
        </is>
      </c>
      <c r="P1067" t="inlineStr">
        <is>
          <t>Soundariya B</t>
        </is>
      </c>
      <c r="Q1067" t="inlineStr">
        <is>
          <t>Bad</t>
        </is>
      </c>
    </row>
    <row r="1068">
      <c r="A1068" t="inlineStr">
        <is>
          <t>kulsrestha.j</t>
        </is>
      </c>
      <c r="B1068" t="inlineStr">
        <is>
          <t>Kulsrestha Joshi</t>
        </is>
      </c>
      <c r="C1068" t="inlineStr">
        <is>
          <t>kulsrestha.j@osmosys.co</t>
        </is>
      </c>
      <c r="D1068" t="inlineStr">
        <is>
          <t>incident-reporter</t>
        </is>
      </c>
      <c r="E1068">
        <f>HYPERLINK("http://gitlab.osmosys.co/incident-reporter/incident-reporter-angular-portal", "OQSHA Portal")</f>
        <v/>
      </c>
      <c r="F1068">
        <f>HYPERLINK("http://gitlab.osmosys.co/incident-reporter/incident-reporter-angular-portal/-/merge_requests/3407", "feat: add department association to tickets")</f>
        <v/>
      </c>
      <c r="G1068" t="inlineStr">
        <is>
          <t>feat/department-tickets</t>
        </is>
      </c>
      <c r="H1068" t="inlineStr">
        <is>
          <t>sprint-17</t>
        </is>
      </c>
      <c r="I1068" t="inlineStr">
        <is>
          <t>merged</t>
        </is>
      </c>
      <c r="J1068" t="inlineStr">
        <is>
          <t>799d411c6190d3feaeb1b2a4c6f6c67b298f974a</t>
        </is>
      </c>
      <c r="K1068">
        <f>HYPERLINK("http://gitlab.osmosys.co/incident-reporter/incident-reporter-angular-portal/-/merge_requests/3407#note_236228", "We don't anything related clinic in our app so the variable name should change")</f>
        <v/>
      </c>
      <c r="L1068" t="inlineStr">
        <is>
          <t>2025-07-14 16:49:03.593 IST</t>
        </is>
      </c>
      <c r="M1068" t="inlineStr">
        <is>
          <t>Soundariya B</t>
        </is>
      </c>
      <c r="N1068" t="inlineStr">
        <is>
          <t>Yes</t>
        </is>
      </c>
      <c r="O1068" t="inlineStr">
        <is>
          <t>Yes</t>
        </is>
      </c>
      <c r="P1068" t="inlineStr">
        <is>
          <t>Soundariya B</t>
        </is>
      </c>
      <c r="Q1068" t="inlineStr">
        <is>
          <t>Bad</t>
        </is>
      </c>
    </row>
    <row r="1069">
      <c r="A1069" t="inlineStr">
        <is>
          <t>kulsrestha.j</t>
        </is>
      </c>
      <c r="B1069" t="inlineStr">
        <is>
          <t>Kulsrestha Joshi</t>
        </is>
      </c>
      <c r="C1069" t="inlineStr">
        <is>
          <t>kulsrestha.j@osmosys.co</t>
        </is>
      </c>
      <c r="D1069" t="inlineStr">
        <is>
          <t>incident-reporter</t>
        </is>
      </c>
      <c r="E1069">
        <f>HYPERLINK("http://gitlab.osmosys.co/incident-reporter/incident-reporter-angular-portal", "OQSHA Portal")</f>
        <v/>
      </c>
      <c r="F1069">
        <f>HYPERLINK("http://gitlab.osmosys.co/incident-reporter/incident-reporter-angular-portal/-/merge_requests/3407", "feat: add department association to tickets")</f>
        <v/>
      </c>
      <c r="G1069" t="inlineStr">
        <is>
          <t>feat/department-tickets</t>
        </is>
      </c>
      <c r="H1069" t="inlineStr">
        <is>
          <t>sprint-17</t>
        </is>
      </c>
      <c r="I1069" t="inlineStr">
        <is>
          <t>merged</t>
        </is>
      </c>
      <c r="J1069" t="inlineStr">
        <is>
          <t>799d411c6190d3feaeb1b2a4c6f6c67b298f974a</t>
        </is>
      </c>
      <c r="K1069">
        <f>HYPERLINK("http://gitlab.osmosys.co/incident-reporter/incident-reporter-angular-portal/-/merge_requests/3407#note_236233", "updated")</f>
        <v/>
      </c>
      <c r="L1069" t="inlineStr">
        <is>
          <t>2025-07-14 16:53:34.373 IST</t>
        </is>
      </c>
      <c r="M1069" t="inlineStr">
        <is>
          <t>Kulsrestha Joshi</t>
        </is>
      </c>
      <c r="N1069" t="inlineStr">
        <is>
          <t>No</t>
        </is>
      </c>
      <c r="O1069" t="inlineStr">
        <is>
          <t>Yes</t>
        </is>
      </c>
      <c r="P1069" t="inlineStr">
        <is>
          <t>Soundariya B</t>
        </is>
      </c>
      <c r="Q1069" t="inlineStr">
        <is>
          <t>Bad</t>
        </is>
      </c>
    </row>
    <row r="1070">
      <c r="A1070" t="inlineStr">
        <is>
          <t>kulsrestha.j</t>
        </is>
      </c>
      <c r="B1070" t="inlineStr">
        <is>
          <t>Kulsrestha Joshi</t>
        </is>
      </c>
      <c r="C1070" t="inlineStr">
        <is>
          <t>kulsrestha.j@osmosys.co</t>
        </is>
      </c>
      <c r="D1070" t="inlineStr">
        <is>
          <t>incident-reporter</t>
        </is>
      </c>
      <c r="E1070">
        <f>HYPERLINK("http://gitlab.osmosys.co/incident-reporter/incident-reporter-angular-portal", "OQSHA Portal")</f>
        <v/>
      </c>
      <c r="F1070">
        <f>HYPERLINK("http://gitlab.osmosys.co/incident-reporter/incident-reporter-angular-portal/-/merge_requests/3405", "feat: add department association with tickets")</f>
        <v/>
      </c>
      <c r="G1070" t="inlineStr">
        <is>
          <t>feat/tickets-department-association</t>
        </is>
      </c>
      <c r="H1070" t="inlineStr">
        <is>
          <t>sprint-17</t>
        </is>
      </c>
      <c r="I1070" t="inlineStr">
        <is>
          <t>closed</t>
        </is>
      </c>
      <c r="J1070" t="inlineStr"/>
      <c r="K1070" t="inlineStr"/>
      <c r="L1070" t="inlineStr"/>
      <c r="M1070" t="inlineStr"/>
      <c r="N1070" t="inlineStr"/>
      <c r="O1070" t="inlineStr"/>
      <c r="P1070" t="inlineStr"/>
      <c r="Q1070" t="inlineStr"/>
    </row>
    <row r="1071">
      <c r="A1071" t="inlineStr">
        <is>
          <t>kulsrestha.j</t>
        </is>
      </c>
      <c r="B1071" t="inlineStr">
        <is>
          <t>Kulsrestha Joshi</t>
        </is>
      </c>
      <c r="C1071" t="inlineStr">
        <is>
          <t>kulsrestha.j@osmosys.co</t>
        </is>
      </c>
      <c r="D1071" t="inlineStr">
        <is>
          <t>incident-reporter</t>
        </is>
      </c>
      <c r="E1071">
        <f>HYPERLINK("http://gitlab.osmosys.co/incident-reporter/incident-reporter-angular-portal", "OQSHA Portal")</f>
        <v/>
      </c>
      <c r="F1071">
        <f>HYPERLINK("http://gitlab.osmosys.co/incident-reporter/incident-reporter-angular-portal/-/merge_requests/3396", "fix: update company selection logic based on contractor company")</f>
        <v/>
      </c>
      <c r="G1071" t="inlineStr">
        <is>
          <t>fix/single-company</t>
        </is>
      </c>
      <c r="H1071" t="inlineStr">
        <is>
          <t>sprint-16</t>
        </is>
      </c>
      <c r="I1071" t="inlineStr">
        <is>
          <t>merged</t>
        </is>
      </c>
      <c r="J1071" t="inlineStr"/>
      <c r="K1071" t="inlineStr"/>
      <c r="L1071" t="inlineStr"/>
      <c r="M1071" t="inlineStr"/>
      <c r="N1071" t="inlineStr"/>
      <c r="O1071" t="inlineStr"/>
      <c r="P1071" t="inlineStr"/>
      <c r="Q1071" t="inlineStr"/>
    </row>
    <row r="1072">
      <c r="A1072" t="inlineStr">
        <is>
          <t>kulsrestha.j</t>
        </is>
      </c>
      <c r="B1072" t="inlineStr">
        <is>
          <t>Kulsrestha Joshi</t>
        </is>
      </c>
      <c r="C1072" t="inlineStr">
        <is>
          <t>kulsrestha.j@osmosys.co</t>
        </is>
      </c>
      <c r="D1072" t="inlineStr">
        <is>
          <t>incident-reporter</t>
        </is>
      </c>
      <c r="E1072">
        <f>HYPERLINK("http://gitlab.osmosys.co/incident-reporter/incident-reporter-angular-portal", "OQSHA Portal")</f>
        <v/>
      </c>
      <c r="F1072">
        <f>HYPERLINK("http://gitlab.osmosys.co/incident-reporter/incident-reporter-angular-portal/-/merge_requests/3394", "fix: add default filter selections and handle empty payload values")</f>
        <v/>
      </c>
      <c r="G1072" t="inlineStr">
        <is>
          <t>fix/tickets-filter-selection</t>
        </is>
      </c>
      <c r="H1072" t="inlineStr">
        <is>
          <t>sprint-16</t>
        </is>
      </c>
      <c r="I1072" t="inlineStr">
        <is>
          <t>merged</t>
        </is>
      </c>
      <c r="J1072" t="inlineStr"/>
      <c r="K1072" t="inlineStr"/>
      <c r="L1072" t="inlineStr"/>
      <c r="M1072" t="inlineStr"/>
      <c r="N1072" t="inlineStr"/>
      <c r="O1072" t="inlineStr"/>
      <c r="P1072" t="inlineStr"/>
      <c r="Q1072" t="inlineStr"/>
    </row>
    <row r="1073">
      <c r="A1073" t="inlineStr">
        <is>
          <t>kulsrestha.j</t>
        </is>
      </c>
      <c r="B1073" t="inlineStr">
        <is>
          <t>Kulsrestha Joshi</t>
        </is>
      </c>
      <c r="C1073" t="inlineStr">
        <is>
          <t>kulsrestha.j@osmosys.co</t>
        </is>
      </c>
      <c r="D1073" t="inlineStr">
        <is>
          <t>incident-reporter</t>
        </is>
      </c>
      <c r="E1073">
        <f>HYPERLINK("http://gitlab.osmosys.co/incident-reporter/incident-reporter-angular-portal", "OQSHA Portal")</f>
        <v/>
      </c>
      <c r="F1073">
        <f>HYPERLINK("http://gitlab.osmosys.co/incident-reporter/incident-reporter-angular-portal/-/merge_requests/3378", "fix: add site filter to store preferences")</f>
        <v/>
      </c>
      <c r="G1073" t="inlineStr">
        <is>
          <t>fix/task-site-filter</t>
        </is>
      </c>
      <c r="H1073" t="inlineStr">
        <is>
          <t>sprint-16</t>
        </is>
      </c>
      <c r="I1073" t="inlineStr">
        <is>
          <t>merged</t>
        </is>
      </c>
      <c r="J1073" t="inlineStr"/>
      <c r="K1073" t="inlineStr"/>
      <c r="L1073" t="inlineStr"/>
      <c r="M1073" t="inlineStr"/>
      <c r="N1073" t="inlineStr"/>
      <c r="O1073" t="inlineStr"/>
      <c r="P1073" t="inlineStr"/>
      <c r="Q1073" t="inlineStr"/>
    </row>
    <row r="1074">
      <c r="A1074" t="inlineStr">
        <is>
          <t>kulsrestha.j</t>
        </is>
      </c>
      <c r="B1074" t="inlineStr">
        <is>
          <t>Kulsrestha Joshi</t>
        </is>
      </c>
      <c r="C1074" t="inlineStr">
        <is>
          <t>kulsrestha.j@osmosys.co</t>
        </is>
      </c>
      <c r="D1074" t="inlineStr">
        <is>
          <t>incident-reporter</t>
        </is>
      </c>
      <c r="E1074">
        <f>HYPERLINK("http://gitlab.osmosys.co/incident-reporter/incident-reporter-angular-portal", "OQSHA Portal")</f>
        <v/>
      </c>
      <c r="F1074">
        <f>HYPERLINK("http://gitlab.osmosys.co/incident-reporter/incident-reporter-angular-portal/-/merge_requests/3377", "fix: fix task page not loading")</f>
        <v/>
      </c>
      <c r="G1074" t="inlineStr">
        <is>
          <t>fix/task-page</t>
        </is>
      </c>
      <c r="H1074" t="inlineStr">
        <is>
          <t>sprint-16</t>
        </is>
      </c>
      <c r="I1074" t="inlineStr">
        <is>
          <t>merged</t>
        </is>
      </c>
      <c r="J1074" t="inlineStr"/>
      <c r="K1074" t="inlineStr"/>
      <c r="L1074" t="inlineStr"/>
      <c r="M1074" t="inlineStr"/>
      <c r="N1074" t="inlineStr"/>
      <c r="O1074" t="inlineStr"/>
      <c r="P1074" t="inlineStr"/>
      <c r="Q1074" t="inlineStr"/>
    </row>
    <row r="1075">
      <c r="A1075" t="inlineStr">
        <is>
          <t>kulsrestha.j</t>
        </is>
      </c>
      <c r="B1075" t="inlineStr">
        <is>
          <t>Kulsrestha Joshi</t>
        </is>
      </c>
      <c r="C1075" t="inlineStr">
        <is>
          <t>kulsrestha.j@osmosys.co</t>
        </is>
      </c>
      <c r="D1075" t="inlineStr">
        <is>
          <t>incident-reporter</t>
        </is>
      </c>
      <c r="E1075">
        <f>HYPERLINK("http://gitlab.osmosys.co/incident-reporter/incident-reporter-angular-portal", "OQSHA Portal")</f>
        <v/>
      </c>
      <c r="F1075">
        <f>HYPERLINK("http://gitlab.osmosys.co/incident-reporter/incident-reporter-angular-portal/-/merge_requests/3376", "feat: add direct task association from audit page")</f>
        <v/>
      </c>
      <c r="G1075" t="inlineStr">
        <is>
          <t>feat/add-task-audit</t>
        </is>
      </c>
      <c r="H1075" t="inlineStr">
        <is>
          <t>sprint-17</t>
        </is>
      </c>
      <c r="I1075" t="inlineStr">
        <is>
          <t>merged</t>
        </is>
      </c>
      <c r="J1075" t="inlineStr">
        <is>
          <t>d9a7f392dd7b4a52facafdafecf0f14031380df2</t>
        </is>
      </c>
      <c r="K1075">
        <f>HYPERLINK("http://gitlab.osmosys.co/incident-reporter/incident-reporter-angular-portal/-/merge_requests/3376#note_234255", "![image](/uploads/60cf8cd88602dfdc810681e804d242c7/image.png)
Either label name should change to Task items or button name should change to Add items")</f>
        <v/>
      </c>
      <c r="L1075" t="inlineStr">
        <is>
          <t>2025-07-10 17:40:47.623 IST</t>
        </is>
      </c>
      <c r="M1075" t="inlineStr">
        <is>
          <t>Soundariya B</t>
        </is>
      </c>
      <c r="N1075" t="inlineStr">
        <is>
          <t>Yes</t>
        </is>
      </c>
      <c r="O1075" t="inlineStr">
        <is>
          <t>Yes</t>
        </is>
      </c>
      <c r="P1075" t="inlineStr">
        <is>
          <t>Soundariya B</t>
        </is>
      </c>
      <c r="Q1075" t="inlineStr">
        <is>
          <t>Neutral</t>
        </is>
      </c>
    </row>
    <row r="1076">
      <c r="A1076" t="inlineStr">
        <is>
          <t>kulsrestha.j</t>
        </is>
      </c>
      <c r="B1076" t="inlineStr">
        <is>
          <t>Kulsrestha Joshi</t>
        </is>
      </c>
      <c r="C1076" t="inlineStr">
        <is>
          <t>kulsrestha.j@osmosys.co</t>
        </is>
      </c>
      <c r="D1076" t="inlineStr">
        <is>
          <t>incident-reporter</t>
        </is>
      </c>
      <c r="E1076">
        <f>HYPERLINK("http://gitlab.osmosys.co/incident-reporter/incident-reporter-angular-portal", "OQSHA Portal")</f>
        <v/>
      </c>
      <c r="F1076">
        <f>HYPERLINK("http://gitlab.osmosys.co/incident-reporter/incident-reporter-angular-portal/-/merge_requests/3376", "feat: add direct task association from audit page")</f>
        <v/>
      </c>
      <c r="G1076" t="inlineStr">
        <is>
          <t>feat/add-task-audit</t>
        </is>
      </c>
      <c r="H1076" t="inlineStr">
        <is>
          <t>sprint-17</t>
        </is>
      </c>
      <c r="I1076" t="inlineStr">
        <is>
          <t>merged</t>
        </is>
      </c>
      <c r="J1076" t="inlineStr">
        <is>
          <t>d9a7f392dd7b4a52facafdafecf0f14031380df2</t>
        </is>
      </c>
      <c r="K1076">
        <f>HYPERLINK("http://gitlab.osmosys.co/incident-reporter/incident-reporter-angular-portal/-/merge_requests/3376#note_234264", "Asked Raj in office , he said to keep it as it is .")</f>
        <v/>
      </c>
      <c r="L1076" t="inlineStr">
        <is>
          <t>2025-07-10 17:52:50.796 IST</t>
        </is>
      </c>
      <c r="M1076" t="inlineStr">
        <is>
          <t>Kulsrestha Joshi</t>
        </is>
      </c>
      <c r="N1076" t="inlineStr">
        <is>
          <t>No</t>
        </is>
      </c>
      <c r="O1076" t="inlineStr">
        <is>
          <t>Yes</t>
        </is>
      </c>
      <c r="P1076" t="inlineStr">
        <is>
          <t>Soundariya B</t>
        </is>
      </c>
      <c r="Q1076" t="inlineStr">
        <is>
          <t>Neutral</t>
        </is>
      </c>
    </row>
    <row r="1077">
      <c r="A1077" t="inlineStr">
        <is>
          <t>kulsrestha.j</t>
        </is>
      </c>
      <c r="B1077" t="inlineStr">
        <is>
          <t>Kulsrestha Joshi</t>
        </is>
      </c>
      <c r="C1077" t="inlineStr">
        <is>
          <t>kulsrestha.j@osmosys.co</t>
        </is>
      </c>
      <c r="D1077" t="inlineStr">
        <is>
          <t>incident-reporter</t>
        </is>
      </c>
      <c r="E1077">
        <f>HYPERLINK("http://gitlab.osmosys.co/incident-reporter/incident-reporter-angular-portal", "OQSHA Portal")</f>
        <v/>
      </c>
      <c r="F1077">
        <f>HYPERLINK("http://gitlab.osmosys.co/incident-reporter/incident-reporter-angular-portal/-/merge_requests/3376", "feat: add direct task association from audit page")</f>
        <v/>
      </c>
      <c r="G1077" t="inlineStr">
        <is>
          <t>feat/add-task-audit</t>
        </is>
      </c>
      <c r="H1077" t="inlineStr">
        <is>
          <t>sprint-17</t>
        </is>
      </c>
      <c r="I1077" t="inlineStr">
        <is>
          <t>merged</t>
        </is>
      </c>
      <c r="J1077" t="inlineStr">
        <is>
          <t>feb0c0bc2af4dfa75d438a6fee00fb7af96dca25</t>
        </is>
      </c>
      <c r="K1077">
        <f>HYPERLINK("http://gitlab.osmosys.co/incident-reporter/incident-reporter-angular-portal/-/merge_requests/3376#note_234256", "What is c-btn? please give meaningful classname and in the correct way prefix")</f>
        <v/>
      </c>
      <c r="L1077" t="inlineStr">
        <is>
          <t>2025-07-10 17:40:47.698 IST</t>
        </is>
      </c>
      <c r="M1077" t="inlineStr">
        <is>
          <t>Soundariya B</t>
        </is>
      </c>
      <c r="N1077" t="inlineStr">
        <is>
          <t>Yes</t>
        </is>
      </c>
      <c r="O1077" t="inlineStr">
        <is>
          <t>Yes</t>
        </is>
      </c>
      <c r="P1077" t="inlineStr">
        <is>
          <t>Soundariya B</t>
        </is>
      </c>
      <c r="Q1077" t="inlineStr">
        <is>
          <t>Neutral</t>
        </is>
      </c>
    </row>
    <row r="1078">
      <c r="A1078" t="inlineStr">
        <is>
          <t>kulsrestha.j</t>
        </is>
      </c>
      <c r="B1078" t="inlineStr">
        <is>
          <t>Kulsrestha Joshi</t>
        </is>
      </c>
      <c r="C1078" t="inlineStr">
        <is>
          <t>kulsrestha.j@osmosys.co</t>
        </is>
      </c>
      <c r="D1078" t="inlineStr">
        <is>
          <t>incident-reporter</t>
        </is>
      </c>
      <c r="E1078">
        <f>HYPERLINK("http://gitlab.osmosys.co/incident-reporter/incident-reporter-angular-portal", "OQSHA Portal")</f>
        <v/>
      </c>
      <c r="F1078">
        <f>HYPERLINK("http://gitlab.osmosys.co/incident-reporter/incident-reporter-angular-portal/-/merge_requests/3376", "feat: add direct task association from audit page")</f>
        <v/>
      </c>
      <c r="G1078" t="inlineStr">
        <is>
          <t>feat/add-task-audit</t>
        </is>
      </c>
      <c r="H1078" t="inlineStr">
        <is>
          <t>sprint-17</t>
        </is>
      </c>
      <c r="I1078" t="inlineStr">
        <is>
          <t>merged</t>
        </is>
      </c>
      <c r="J1078" t="inlineStr">
        <is>
          <t>feb0c0bc2af4dfa75d438a6fee00fb7af96dca25</t>
        </is>
      </c>
      <c r="K1078">
        <f>HYPERLINK("http://gitlab.osmosys.co/incident-reporter/incident-reporter-angular-portal/-/merge_requests/3376#note_234265", "This is from global css , can't change it")</f>
        <v/>
      </c>
      <c r="L1078" t="inlineStr">
        <is>
          <t>2025-07-10 17:53:11.340 IST</t>
        </is>
      </c>
      <c r="M1078" t="inlineStr">
        <is>
          <t>Kulsrestha Joshi</t>
        </is>
      </c>
      <c r="N1078" t="inlineStr">
        <is>
          <t>No</t>
        </is>
      </c>
      <c r="O1078" t="inlineStr">
        <is>
          <t>Yes</t>
        </is>
      </c>
      <c r="P1078" t="inlineStr">
        <is>
          <t>Soundariya B</t>
        </is>
      </c>
      <c r="Q1078" t="inlineStr">
        <is>
          <t>Neutral</t>
        </is>
      </c>
    </row>
    <row r="1079">
      <c r="A1079" t="inlineStr">
        <is>
          <t>kulsrestha.j</t>
        </is>
      </c>
      <c r="B1079" t="inlineStr">
        <is>
          <t>Kulsrestha Joshi</t>
        </is>
      </c>
      <c r="C1079" t="inlineStr">
        <is>
          <t>kulsrestha.j@osmosys.co</t>
        </is>
      </c>
      <c r="D1079" t="inlineStr">
        <is>
          <t>incident-reporter</t>
        </is>
      </c>
      <c r="E1079">
        <f>HYPERLINK("http://gitlab.osmosys.co/incident-reporter/incident-reporter-angular-portal", "OQSHA Portal")</f>
        <v/>
      </c>
      <c r="F1079">
        <f>HYPERLINK("http://gitlab.osmosys.co/incident-reporter/incident-reporter-angular-portal/-/merge_requests/3376", "feat: add direct task association from audit page")</f>
        <v/>
      </c>
      <c r="G1079" t="inlineStr">
        <is>
          <t>feat/add-task-audit</t>
        </is>
      </c>
      <c r="H1079" t="inlineStr">
        <is>
          <t>sprint-17</t>
        </is>
      </c>
      <c r="I1079" t="inlineStr">
        <is>
          <t>merged</t>
        </is>
      </c>
      <c r="J1079" t="inlineStr">
        <is>
          <t>4446dcd4a8e360fbe8c06adb695b735738be4eb2</t>
        </is>
      </c>
      <c r="K1079">
        <f>HYPERLINK("http://gitlab.osmosys.co/incident-reporter/incident-reporter-angular-portal/-/merge_requests/3376#note_234257", "Declare the data type")</f>
        <v/>
      </c>
      <c r="L1079" t="inlineStr">
        <is>
          <t>2025-07-10 17:40:47.803 IST</t>
        </is>
      </c>
      <c r="M1079" t="inlineStr">
        <is>
          <t>Soundariya B</t>
        </is>
      </c>
      <c r="N1079" t="inlineStr">
        <is>
          <t>Yes</t>
        </is>
      </c>
      <c r="O1079" t="inlineStr">
        <is>
          <t>Yes</t>
        </is>
      </c>
      <c r="P1079" t="inlineStr">
        <is>
          <t>Soundariya B</t>
        </is>
      </c>
      <c r="Q1079" t="inlineStr">
        <is>
          <t>Bad</t>
        </is>
      </c>
    </row>
    <row r="1080">
      <c r="A1080" t="inlineStr">
        <is>
          <t>kulsrestha.j</t>
        </is>
      </c>
      <c r="B1080" t="inlineStr">
        <is>
          <t>Kulsrestha Joshi</t>
        </is>
      </c>
      <c r="C1080" t="inlineStr">
        <is>
          <t>kulsrestha.j@osmosys.co</t>
        </is>
      </c>
      <c r="D1080" t="inlineStr">
        <is>
          <t>incident-reporter</t>
        </is>
      </c>
      <c r="E1080">
        <f>HYPERLINK("http://gitlab.osmosys.co/incident-reporter/incident-reporter-angular-portal", "OQSHA Portal")</f>
        <v/>
      </c>
      <c r="F1080">
        <f>HYPERLINK("http://gitlab.osmosys.co/incident-reporter/incident-reporter-angular-portal/-/merge_requests/3376", "feat: add direct task association from audit page")</f>
        <v/>
      </c>
      <c r="G1080" t="inlineStr">
        <is>
          <t>feat/add-task-audit</t>
        </is>
      </c>
      <c r="H1080" t="inlineStr">
        <is>
          <t>sprint-17</t>
        </is>
      </c>
      <c r="I1080" t="inlineStr">
        <is>
          <t>merged</t>
        </is>
      </c>
      <c r="J1080" t="inlineStr">
        <is>
          <t>4446dcd4a8e360fbe8c06adb695b735738be4eb2</t>
        </is>
      </c>
      <c r="K1080">
        <f>HYPERLINK("http://gitlab.osmosys.co/incident-reporter/incident-reporter-angular-portal/-/merge_requests/3376#note_234333", "Given an interface")</f>
        <v/>
      </c>
      <c r="L1080" t="inlineStr">
        <is>
          <t>2025-07-10 18:29:44.949 IST</t>
        </is>
      </c>
      <c r="M1080" t="inlineStr">
        <is>
          <t>Kulsrestha Joshi</t>
        </is>
      </c>
      <c r="N1080" t="inlineStr">
        <is>
          <t>No</t>
        </is>
      </c>
      <c r="O1080" t="inlineStr">
        <is>
          <t>Yes</t>
        </is>
      </c>
      <c r="P1080" t="inlineStr">
        <is>
          <t>Soundariya B</t>
        </is>
      </c>
      <c r="Q1080" t="inlineStr">
        <is>
          <t>Bad</t>
        </is>
      </c>
    </row>
    <row r="1081">
      <c r="A1081" t="inlineStr">
        <is>
          <t>kulsrestha.j</t>
        </is>
      </c>
      <c r="B1081" t="inlineStr">
        <is>
          <t>Kulsrestha Joshi</t>
        </is>
      </c>
      <c r="C1081" t="inlineStr">
        <is>
          <t>kulsrestha.j@osmosys.co</t>
        </is>
      </c>
      <c r="D1081" t="inlineStr">
        <is>
          <t>incident-reporter</t>
        </is>
      </c>
      <c r="E1081">
        <f>HYPERLINK("http://gitlab.osmosys.co/incident-reporter/incident-reporter-angular-portal", "OQSHA Portal")</f>
        <v/>
      </c>
      <c r="F1081">
        <f>HYPERLINK("http://gitlab.osmosys.co/incident-reporter/incident-reporter-angular-portal/-/merge_requests/3376", "feat: add direct task association from audit page")</f>
        <v/>
      </c>
      <c r="G1081" t="inlineStr">
        <is>
          <t>feat/add-task-audit</t>
        </is>
      </c>
      <c r="H1081" t="inlineStr">
        <is>
          <t>sprint-17</t>
        </is>
      </c>
      <c r="I1081" t="inlineStr">
        <is>
          <t>merged</t>
        </is>
      </c>
      <c r="J1081" t="inlineStr">
        <is>
          <t>5f23d21b55dd777ee9e65fc28fbf0ea1085ac183</t>
        </is>
      </c>
      <c r="K1081">
        <f>HYPERLINK("http://gitlab.osmosys.co/incident-reporter/incident-reporter-angular-portal/-/merge_requests/3376#note_234258", "It should be 'this.selectedSiteId' which is enough")</f>
        <v/>
      </c>
      <c r="L1081" t="inlineStr">
        <is>
          <t>2025-07-10 17:40:47.859 IST</t>
        </is>
      </c>
      <c r="M1081" t="inlineStr">
        <is>
          <t>Soundariya B</t>
        </is>
      </c>
      <c r="N1081" t="inlineStr">
        <is>
          <t>Yes</t>
        </is>
      </c>
      <c r="O1081" t="inlineStr">
        <is>
          <t>Yes</t>
        </is>
      </c>
      <c r="P1081" t="inlineStr">
        <is>
          <t>Soundariya B</t>
        </is>
      </c>
      <c r="Q1081" t="inlineStr">
        <is>
          <t>Neutral</t>
        </is>
      </c>
    </row>
    <row r="1082">
      <c r="A1082" t="inlineStr">
        <is>
          <t>kulsrestha.j</t>
        </is>
      </c>
      <c r="B1082" t="inlineStr">
        <is>
          <t>Kulsrestha Joshi</t>
        </is>
      </c>
      <c r="C1082" t="inlineStr">
        <is>
          <t>kulsrestha.j@osmosys.co</t>
        </is>
      </c>
      <c r="D1082" t="inlineStr">
        <is>
          <t>incident-reporter</t>
        </is>
      </c>
      <c r="E1082">
        <f>HYPERLINK("http://gitlab.osmosys.co/incident-reporter/incident-reporter-angular-portal", "OQSHA Portal")</f>
        <v/>
      </c>
      <c r="F1082">
        <f>HYPERLINK("http://gitlab.osmosys.co/incident-reporter/incident-reporter-angular-portal/-/merge_requests/3376", "feat: add direct task association from audit page")</f>
        <v/>
      </c>
      <c r="G1082" t="inlineStr">
        <is>
          <t>feat/add-task-audit</t>
        </is>
      </c>
      <c r="H1082" t="inlineStr">
        <is>
          <t>sprint-17</t>
        </is>
      </c>
      <c r="I1082" t="inlineStr">
        <is>
          <t>merged</t>
        </is>
      </c>
      <c r="J1082" t="inlineStr">
        <is>
          <t>5f23d21b55dd777ee9e65fc28fbf0ea1085ac183</t>
        </is>
      </c>
      <c r="K1082">
        <f>HYPERLINK("http://gitlab.osmosys.co/incident-reporter/incident-reporter-angular-portal/-/merge_requests/3376#note_234268", "Using destructuring here allows for consistent assignment from array-like structures and makes future expansion to multiple values easier , so its added intentionally as it was working due to this . Already checked it with other approach was giving issues so then added destructuring .")</f>
        <v/>
      </c>
      <c r="L1082" t="inlineStr">
        <is>
          <t>2025-07-10 17:57:10.022 IST</t>
        </is>
      </c>
      <c r="M1082" t="inlineStr">
        <is>
          <t>Kulsrestha Joshi</t>
        </is>
      </c>
      <c r="N1082" t="inlineStr">
        <is>
          <t>No</t>
        </is>
      </c>
      <c r="O1082" t="inlineStr">
        <is>
          <t>Yes</t>
        </is>
      </c>
      <c r="P1082" t="inlineStr">
        <is>
          <t>Soundariya B</t>
        </is>
      </c>
      <c r="Q1082" t="inlineStr">
        <is>
          <t>Neutral</t>
        </is>
      </c>
    </row>
    <row r="1083">
      <c r="A1083" t="inlineStr">
        <is>
          <t>kulsrestha.j</t>
        </is>
      </c>
      <c r="B1083" t="inlineStr">
        <is>
          <t>Kulsrestha Joshi</t>
        </is>
      </c>
      <c r="C1083" t="inlineStr">
        <is>
          <t>kulsrestha.j@osmosys.co</t>
        </is>
      </c>
      <c r="D1083" t="inlineStr">
        <is>
          <t>incident-reporter</t>
        </is>
      </c>
      <c r="E1083">
        <f>HYPERLINK("http://gitlab.osmosys.co/incident-reporter/incident-reporter-angular-portal", "OQSHA Portal")</f>
        <v/>
      </c>
      <c r="F1083">
        <f>HYPERLINK("http://gitlab.osmosys.co/incident-reporter/incident-reporter-angular-portal/-/merge_requests/3376", "feat: add direct task association from audit page")</f>
        <v/>
      </c>
      <c r="G1083" t="inlineStr">
        <is>
          <t>feat/add-task-audit</t>
        </is>
      </c>
      <c r="H1083" t="inlineStr">
        <is>
          <t>sprint-17</t>
        </is>
      </c>
      <c r="I1083" t="inlineStr">
        <is>
          <t>merged</t>
        </is>
      </c>
      <c r="J1083" t="inlineStr">
        <is>
          <t>b64d39cf836addf327f4f6006ea812d238e0ab3d</t>
        </is>
      </c>
      <c r="K1083">
        <f>HYPERLINK("http://gitlab.osmosys.co/incident-reporter/incident-reporter-angular-portal/-/merge_requests/3376#note_234259", "Take the 'Task' word from lang files")</f>
        <v/>
      </c>
      <c r="L1083" t="inlineStr">
        <is>
          <t>2025-07-10 17:40:47.915 IST</t>
        </is>
      </c>
      <c r="M1083" t="inlineStr">
        <is>
          <t>Soundariya B</t>
        </is>
      </c>
      <c r="N1083" t="inlineStr">
        <is>
          <t>Yes</t>
        </is>
      </c>
      <c r="O1083" t="inlineStr">
        <is>
          <t>Yes</t>
        </is>
      </c>
      <c r="P1083" t="inlineStr">
        <is>
          <t>Soundariya B</t>
        </is>
      </c>
      <c r="Q1083" t="inlineStr">
        <is>
          <t>Neutral</t>
        </is>
      </c>
    </row>
    <row r="1084">
      <c r="A1084" t="inlineStr">
        <is>
          <t>kulsrestha.j</t>
        </is>
      </c>
      <c r="B1084" t="inlineStr">
        <is>
          <t>Kulsrestha Joshi</t>
        </is>
      </c>
      <c r="C1084" t="inlineStr">
        <is>
          <t>kulsrestha.j@osmosys.co</t>
        </is>
      </c>
      <c r="D1084" t="inlineStr">
        <is>
          <t>incident-reporter</t>
        </is>
      </c>
      <c r="E1084">
        <f>HYPERLINK("http://gitlab.osmosys.co/incident-reporter/incident-reporter-angular-portal", "OQSHA Portal")</f>
        <v/>
      </c>
      <c r="F1084">
        <f>HYPERLINK("http://gitlab.osmosys.co/incident-reporter/incident-reporter-angular-portal/-/merge_requests/3376", "feat: add direct task association from audit page")</f>
        <v/>
      </c>
      <c r="G1084" t="inlineStr">
        <is>
          <t>feat/add-task-audit</t>
        </is>
      </c>
      <c r="H1084" t="inlineStr">
        <is>
          <t>sprint-17</t>
        </is>
      </c>
      <c r="I1084" t="inlineStr">
        <is>
          <t>merged</t>
        </is>
      </c>
      <c r="J1084" t="inlineStr">
        <is>
          <t>b64d39cf836addf327f4f6006ea812d238e0ab3d</t>
        </is>
      </c>
      <c r="K1084">
        <f>HYPERLINK("http://gitlab.osmosys.co/incident-reporter/incident-reporter-angular-portal/-/merge_requests/3376#note_234312", "Removed it as was not needed .")</f>
        <v/>
      </c>
      <c r="L1084" t="inlineStr">
        <is>
          <t>2025-07-10 18:20:35.137 IST</t>
        </is>
      </c>
      <c r="M1084" t="inlineStr">
        <is>
          <t>Kulsrestha Joshi</t>
        </is>
      </c>
      <c r="N1084" t="inlineStr">
        <is>
          <t>No</t>
        </is>
      </c>
      <c r="O1084" t="inlineStr">
        <is>
          <t>Yes</t>
        </is>
      </c>
      <c r="P1084" t="inlineStr">
        <is>
          <t>Soundariya B</t>
        </is>
      </c>
      <c r="Q1084" t="inlineStr">
        <is>
          <t>Neutral</t>
        </is>
      </c>
    </row>
    <row r="1085">
      <c r="A1085" t="inlineStr">
        <is>
          <t>kulsrestha.j</t>
        </is>
      </c>
      <c r="B1085" t="inlineStr">
        <is>
          <t>Kulsrestha Joshi</t>
        </is>
      </c>
      <c r="C1085" t="inlineStr">
        <is>
          <t>kulsrestha.j@osmosys.co</t>
        </is>
      </c>
      <c r="D1085" t="inlineStr">
        <is>
          <t>incident-reporter</t>
        </is>
      </c>
      <c r="E1085">
        <f>HYPERLINK("http://gitlab.osmosys.co/incident-reporter/incident-reporter-angular-portal", "OQSHA Portal")</f>
        <v/>
      </c>
      <c r="F1085">
        <f>HYPERLINK("http://gitlab.osmosys.co/incident-reporter/incident-reporter-angular-portal/-/merge_requests/3372", "feat: add direct task association from tickets page")</f>
        <v/>
      </c>
      <c r="G1085" t="inlineStr">
        <is>
          <t>feat/tickets-add-task</t>
        </is>
      </c>
      <c r="H1085" t="inlineStr">
        <is>
          <t>sprint-17</t>
        </is>
      </c>
      <c r="I1085" t="inlineStr">
        <is>
          <t>merged</t>
        </is>
      </c>
      <c r="J1085" t="inlineStr">
        <is>
          <t>1501645f4973c9c83cb7f764da6f910ec19915bb</t>
        </is>
      </c>
      <c r="K1085">
        <f>HYPERLINK("http://gitlab.osmosys.co/incident-reporter/incident-reporter-angular-portal/-/merge_requests/3372#note_231774", "![image](/uploads/8de0af2b37dc5eb96c871567f6ee16d4/image.png)
Why the spaces are using for this field? We can use it.")</f>
        <v/>
      </c>
      <c r="L1085" t="inlineStr">
        <is>
          <t>2025-07-04 01:01:16.366 IST</t>
        </is>
      </c>
      <c r="M1085" t="inlineStr">
        <is>
          <t>Soundariya B</t>
        </is>
      </c>
      <c r="N1085" t="inlineStr">
        <is>
          <t>Yes</t>
        </is>
      </c>
      <c r="O1085" t="inlineStr">
        <is>
          <t>Yes</t>
        </is>
      </c>
      <c r="P1085" t="inlineStr">
        <is>
          <t>Soundariya B</t>
        </is>
      </c>
      <c r="Q1085" t="inlineStr">
        <is>
          <t>Neutral</t>
        </is>
      </c>
    </row>
    <row r="1086">
      <c r="A1086" t="inlineStr">
        <is>
          <t>kulsrestha.j</t>
        </is>
      </c>
      <c r="B1086" t="inlineStr">
        <is>
          <t>Kulsrestha Joshi</t>
        </is>
      </c>
      <c r="C1086" t="inlineStr">
        <is>
          <t>kulsrestha.j@osmosys.co</t>
        </is>
      </c>
      <c r="D1086" t="inlineStr">
        <is>
          <t>incident-reporter</t>
        </is>
      </c>
      <c r="E1086">
        <f>HYPERLINK("http://gitlab.osmosys.co/incident-reporter/incident-reporter-angular-portal", "OQSHA Portal")</f>
        <v/>
      </c>
      <c r="F1086">
        <f>HYPERLINK("http://gitlab.osmosys.co/incident-reporter/incident-reporter-angular-portal/-/merge_requests/3372", "feat: add direct task association from tickets page")</f>
        <v/>
      </c>
      <c r="G1086" t="inlineStr">
        <is>
          <t>feat/tickets-add-task</t>
        </is>
      </c>
      <c r="H1086" t="inlineStr">
        <is>
          <t>sprint-17</t>
        </is>
      </c>
      <c r="I1086" t="inlineStr">
        <is>
          <t>merged</t>
        </is>
      </c>
      <c r="J1086" t="inlineStr">
        <is>
          <t>1501645f4973c9c83cb7f764da6f910ec19915bb</t>
        </is>
      </c>
      <c r="K1086">
        <f>HYPERLINK("http://gitlab.osmosys.co/incident-reporter/incident-reporter-angular-portal/-/merge_requests/3372#note_231888", "Gave the dropdown full width and added the button after that  as Raj said to keep it after the dropdown
![image](/uploads/9d71b60642dc8e3d69c9516b5e26f7d6/image.png){width=1256 height=751}")</f>
        <v/>
      </c>
      <c r="L1086" t="inlineStr">
        <is>
          <t>2025-07-04 10:34:24.960 IST</t>
        </is>
      </c>
      <c r="M1086" t="inlineStr">
        <is>
          <t>Kulsrestha Joshi</t>
        </is>
      </c>
      <c r="N1086" t="inlineStr">
        <is>
          <t>No</t>
        </is>
      </c>
      <c r="O1086" t="inlineStr">
        <is>
          <t>Yes</t>
        </is>
      </c>
      <c r="P1086" t="inlineStr">
        <is>
          <t>Soundariya B</t>
        </is>
      </c>
      <c r="Q1086" t="inlineStr">
        <is>
          <t>Neutral</t>
        </is>
      </c>
    </row>
    <row r="1087">
      <c r="A1087" t="inlineStr">
        <is>
          <t>kulsrestha.j</t>
        </is>
      </c>
      <c r="B1087" t="inlineStr">
        <is>
          <t>Kulsrestha Joshi</t>
        </is>
      </c>
      <c r="C1087" t="inlineStr">
        <is>
          <t>kulsrestha.j@osmosys.co</t>
        </is>
      </c>
      <c r="D1087" t="inlineStr">
        <is>
          <t>incident-reporter</t>
        </is>
      </c>
      <c r="E1087">
        <f>HYPERLINK("http://gitlab.osmosys.co/incident-reporter/incident-reporter-angular-portal", "OQSHA Portal")</f>
        <v/>
      </c>
      <c r="F1087">
        <f>HYPERLINK("http://gitlab.osmosys.co/incident-reporter/incident-reporter-angular-portal/-/merge_requests/3372", "feat: add direct task association from tickets page")</f>
        <v/>
      </c>
      <c r="G1087" t="inlineStr">
        <is>
          <t>feat/tickets-add-task</t>
        </is>
      </c>
      <c r="H1087" t="inlineStr">
        <is>
          <t>sprint-17</t>
        </is>
      </c>
      <c r="I1087" t="inlineStr">
        <is>
          <t>merged</t>
        </is>
      </c>
      <c r="J1087" t="inlineStr">
        <is>
          <t>fc62e7bbc0501d32502f8dbfabb077837b360ee1</t>
        </is>
      </c>
      <c r="K1087">
        <f>HYPERLINK("http://gitlab.osmosys.co/incident-reporter/incident-reporter-angular-portal/-/merge_requests/3372#note_231775", "Please improve and use the meaning full variable names")</f>
        <v/>
      </c>
      <c r="L1087" t="inlineStr">
        <is>
          <t>2025-07-04 01:01:16.458 IST</t>
        </is>
      </c>
      <c r="M1087" t="inlineStr">
        <is>
          <t>Soundariya B</t>
        </is>
      </c>
      <c r="N1087" t="inlineStr">
        <is>
          <t>Yes</t>
        </is>
      </c>
      <c r="O1087" t="inlineStr">
        <is>
          <t>Yes</t>
        </is>
      </c>
      <c r="P1087" t="inlineStr">
        <is>
          <t>Soundariya B</t>
        </is>
      </c>
      <c r="Q1087" t="inlineStr">
        <is>
          <t>Bad</t>
        </is>
      </c>
    </row>
    <row r="1088">
      <c r="A1088" t="inlineStr">
        <is>
          <t>kulsrestha.j</t>
        </is>
      </c>
      <c r="B1088" t="inlineStr">
        <is>
          <t>Kulsrestha Joshi</t>
        </is>
      </c>
      <c r="C1088" t="inlineStr">
        <is>
          <t>kulsrestha.j@osmosys.co</t>
        </is>
      </c>
      <c r="D1088" t="inlineStr">
        <is>
          <t>incident-reporter</t>
        </is>
      </c>
      <c r="E1088">
        <f>HYPERLINK("http://gitlab.osmosys.co/incident-reporter/incident-reporter-angular-portal", "OQSHA Portal")</f>
        <v/>
      </c>
      <c r="F1088">
        <f>HYPERLINK("http://gitlab.osmosys.co/incident-reporter/incident-reporter-angular-portal/-/merge_requests/3372", "feat: add direct task association from tickets page")</f>
        <v/>
      </c>
      <c r="G1088" t="inlineStr">
        <is>
          <t>feat/tickets-add-task</t>
        </is>
      </c>
      <c r="H1088" t="inlineStr">
        <is>
          <t>sprint-17</t>
        </is>
      </c>
      <c r="I1088" t="inlineStr">
        <is>
          <t>merged</t>
        </is>
      </c>
      <c r="J1088" t="inlineStr">
        <is>
          <t>fc62e7bbc0501d32502f8dbfabb077837b360ee1</t>
        </is>
      </c>
      <c r="K1088">
        <f>HYPERLINK("http://gitlab.osmosys.co/incident-reporter/incident-reporter-angular-portal/-/merge_requests/3372#note_231897", "Updated")</f>
        <v/>
      </c>
      <c r="L1088" t="inlineStr">
        <is>
          <t>2025-07-04 10:48:04.696 IST</t>
        </is>
      </c>
      <c r="M1088" t="inlineStr">
        <is>
          <t>Kulsrestha Joshi</t>
        </is>
      </c>
      <c r="N1088" t="inlineStr">
        <is>
          <t>No</t>
        </is>
      </c>
      <c r="O1088" t="inlineStr">
        <is>
          <t>Yes</t>
        </is>
      </c>
      <c r="P1088" t="inlineStr">
        <is>
          <t>Soundariya B</t>
        </is>
      </c>
      <c r="Q1088" t="inlineStr">
        <is>
          <t>Bad</t>
        </is>
      </c>
    </row>
    <row r="1089">
      <c r="A1089" t="inlineStr">
        <is>
          <t>kulsrestha.j</t>
        </is>
      </c>
      <c r="B1089" t="inlineStr">
        <is>
          <t>Kulsrestha Joshi</t>
        </is>
      </c>
      <c r="C1089" t="inlineStr">
        <is>
          <t>kulsrestha.j@osmosys.co</t>
        </is>
      </c>
      <c r="D1089" t="inlineStr">
        <is>
          <t>incident-reporter</t>
        </is>
      </c>
      <c r="E1089">
        <f>HYPERLINK("http://gitlab.osmosys.co/incident-reporter/incident-reporter-angular-portal", "OQSHA Portal")</f>
        <v/>
      </c>
      <c r="F1089">
        <f>HYPERLINK("http://gitlab.osmosys.co/incident-reporter/incident-reporter-angular-portal/-/merge_requests/3372", "feat: add direct task association from tickets page")</f>
        <v/>
      </c>
      <c r="G1089" t="inlineStr">
        <is>
          <t>feat/tickets-add-task</t>
        </is>
      </c>
      <c r="H1089" t="inlineStr">
        <is>
          <t>sprint-17</t>
        </is>
      </c>
      <c r="I1089" t="inlineStr">
        <is>
          <t>merged</t>
        </is>
      </c>
      <c r="J1089" t="inlineStr">
        <is>
          <t>816bfc8d917279925d0138c49fb2a673b784e68e</t>
        </is>
      </c>
      <c r="K1089">
        <f>HYPERLINK("http://gitlab.osmosys.co/incident-reporter/incident-reporter-angular-portal/-/merge_requests/3372#note_231776", "Please follow the DRY principle")</f>
        <v/>
      </c>
      <c r="L1089" t="inlineStr">
        <is>
          <t>2025-07-04 01:01:16.519 IST</t>
        </is>
      </c>
      <c r="M1089" t="inlineStr">
        <is>
          <t>Soundariya B</t>
        </is>
      </c>
      <c r="N1089" t="inlineStr">
        <is>
          <t>Yes</t>
        </is>
      </c>
      <c r="O1089" t="inlineStr">
        <is>
          <t>Yes</t>
        </is>
      </c>
      <c r="P1089" t="inlineStr">
        <is>
          <t>Soundariya B</t>
        </is>
      </c>
      <c r="Q1089" t="inlineStr">
        <is>
          <t>Bad</t>
        </is>
      </c>
    </row>
    <row r="1090">
      <c r="A1090" t="inlineStr">
        <is>
          <t>kulsrestha.j</t>
        </is>
      </c>
      <c r="B1090" t="inlineStr">
        <is>
          <t>Kulsrestha Joshi</t>
        </is>
      </c>
      <c r="C1090" t="inlineStr">
        <is>
          <t>kulsrestha.j@osmosys.co</t>
        </is>
      </c>
      <c r="D1090" t="inlineStr">
        <is>
          <t>incident-reporter</t>
        </is>
      </c>
      <c r="E1090">
        <f>HYPERLINK("http://gitlab.osmosys.co/incident-reporter/incident-reporter-angular-portal", "OQSHA Portal")</f>
        <v/>
      </c>
      <c r="F1090">
        <f>HYPERLINK("http://gitlab.osmosys.co/incident-reporter/incident-reporter-angular-portal/-/merge_requests/3372", "feat: add direct task association from tickets page")</f>
        <v/>
      </c>
      <c r="G1090" t="inlineStr">
        <is>
          <t>feat/tickets-add-task</t>
        </is>
      </c>
      <c r="H1090" t="inlineStr">
        <is>
          <t>sprint-17</t>
        </is>
      </c>
      <c r="I1090" t="inlineStr">
        <is>
          <t>merged</t>
        </is>
      </c>
      <c r="J1090" t="inlineStr">
        <is>
          <t>816bfc8d917279925d0138c49fb2a673b784e68e</t>
        </is>
      </c>
      <c r="K1090">
        <f>HYPERLINK("http://gitlab.osmosys.co/incident-reporter/incident-reporter-angular-portal/-/merge_requests/3372#note_231898", "Used a constant function")</f>
        <v/>
      </c>
      <c r="L1090" t="inlineStr">
        <is>
          <t>2025-07-04 10:48:12.858 IST</t>
        </is>
      </c>
      <c r="M1090" t="inlineStr">
        <is>
          <t>Kulsrestha Joshi</t>
        </is>
      </c>
      <c r="N1090" t="inlineStr">
        <is>
          <t>No</t>
        </is>
      </c>
      <c r="O1090" t="inlineStr">
        <is>
          <t>Yes</t>
        </is>
      </c>
      <c r="P1090" t="inlineStr">
        <is>
          <t>Soundariya B</t>
        </is>
      </c>
      <c r="Q1090" t="inlineStr">
        <is>
          <t>Bad</t>
        </is>
      </c>
    </row>
    <row r="1091">
      <c r="A1091" t="inlineStr">
        <is>
          <t>kulsrestha.j</t>
        </is>
      </c>
      <c r="B1091" t="inlineStr">
        <is>
          <t>Kulsrestha Joshi</t>
        </is>
      </c>
      <c r="C1091" t="inlineStr">
        <is>
          <t>kulsrestha.j@osmosys.co</t>
        </is>
      </c>
      <c r="D1091" t="inlineStr">
        <is>
          <t>incident-reporter</t>
        </is>
      </c>
      <c r="E1091">
        <f>HYPERLINK("http://gitlab.osmosys.co/incident-reporter/incident-reporter-angular-portal", "OQSHA Portal")</f>
        <v/>
      </c>
      <c r="F1091">
        <f>HYPERLINK("http://gitlab.osmosys.co/incident-reporter/incident-reporter-angular-portal/-/merge_requests/3372", "feat: add direct task association from tickets page")</f>
        <v/>
      </c>
      <c r="G1091" t="inlineStr">
        <is>
          <t>feat/tickets-add-task</t>
        </is>
      </c>
      <c r="H1091" t="inlineStr">
        <is>
          <t>sprint-17</t>
        </is>
      </c>
      <c r="I1091" t="inlineStr">
        <is>
          <t>merged</t>
        </is>
      </c>
      <c r="J1091" t="inlineStr">
        <is>
          <t>9958f4094453b35675017adac765dbbee64bb901</t>
        </is>
      </c>
      <c r="K1091">
        <f>HYPERLINK("http://gitlab.osmosys.co/incident-reporter/incident-reporter-angular-portal/-/merge_requests/3372#note_231777", "Bad variable name")</f>
        <v/>
      </c>
      <c r="L1091" t="inlineStr">
        <is>
          <t>2025-07-04 01:01:16.588 IST</t>
        </is>
      </c>
      <c r="M1091" t="inlineStr">
        <is>
          <t>Soundariya B</t>
        </is>
      </c>
      <c r="N1091" t="inlineStr">
        <is>
          <t>Yes</t>
        </is>
      </c>
      <c r="O1091" t="inlineStr">
        <is>
          <t>Yes</t>
        </is>
      </c>
      <c r="P1091" t="inlineStr">
        <is>
          <t>Soundariya B</t>
        </is>
      </c>
      <c r="Q1091" t="inlineStr">
        <is>
          <t>Bad</t>
        </is>
      </c>
    </row>
    <row r="1092">
      <c r="A1092" t="inlineStr">
        <is>
          <t>kulsrestha.j</t>
        </is>
      </c>
      <c r="B1092" t="inlineStr">
        <is>
          <t>Kulsrestha Joshi</t>
        </is>
      </c>
      <c r="C1092" t="inlineStr">
        <is>
          <t>kulsrestha.j@osmosys.co</t>
        </is>
      </c>
      <c r="D1092" t="inlineStr">
        <is>
          <t>incident-reporter</t>
        </is>
      </c>
      <c r="E1092">
        <f>HYPERLINK("http://gitlab.osmosys.co/incident-reporter/incident-reporter-angular-portal", "OQSHA Portal")</f>
        <v/>
      </c>
      <c r="F1092">
        <f>HYPERLINK("http://gitlab.osmosys.co/incident-reporter/incident-reporter-angular-portal/-/merge_requests/3372", "feat: add direct task association from tickets page")</f>
        <v/>
      </c>
      <c r="G1092" t="inlineStr">
        <is>
          <t>feat/tickets-add-task</t>
        </is>
      </c>
      <c r="H1092" t="inlineStr">
        <is>
          <t>sprint-17</t>
        </is>
      </c>
      <c r="I1092" t="inlineStr">
        <is>
          <t>merged</t>
        </is>
      </c>
      <c r="J1092" t="inlineStr">
        <is>
          <t>9958f4094453b35675017adac765dbbee64bb901</t>
        </is>
      </c>
      <c r="K1092">
        <f>HYPERLINK("http://gitlab.osmosys.co/incident-reporter/incident-reporter-angular-portal/-/merge_requests/3372#note_231899", "Updated")</f>
        <v/>
      </c>
      <c r="L1092" t="inlineStr">
        <is>
          <t>2025-07-04 10:49:05.658 IST</t>
        </is>
      </c>
      <c r="M1092" t="inlineStr">
        <is>
          <t>Kulsrestha Joshi</t>
        </is>
      </c>
      <c r="N1092" t="inlineStr">
        <is>
          <t>No</t>
        </is>
      </c>
      <c r="O1092" t="inlineStr">
        <is>
          <t>Yes</t>
        </is>
      </c>
      <c r="P1092" t="inlineStr">
        <is>
          <t>Soundariya B</t>
        </is>
      </c>
      <c r="Q1092" t="inlineStr">
        <is>
          <t>Bad</t>
        </is>
      </c>
    </row>
    <row r="1093">
      <c r="A1093" t="inlineStr">
        <is>
          <t>kulsrestha.j</t>
        </is>
      </c>
      <c r="B1093" t="inlineStr">
        <is>
          <t>Kulsrestha Joshi</t>
        </is>
      </c>
      <c r="C1093" t="inlineStr">
        <is>
          <t>kulsrestha.j@osmosys.co</t>
        </is>
      </c>
      <c r="D1093" t="inlineStr">
        <is>
          <t>incident-reporter</t>
        </is>
      </c>
      <c r="E1093">
        <f>HYPERLINK("http://gitlab.osmosys.co/incident-reporter/incident-reporter-angular-portal", "OQSHA Portal")</f>
        <v/>
      </c>
      <c r="F1093">
        <f>HYPERLINK("http://gitlab.osmosys.co/incident-reporter/incident-reporter-angular-portal/-/merge_requests/3372", "feat: add direct task association from tickets page")</f>
        <v/>
      </c>
      <c r="G1093" t="inlineStr">
        <is>
          <t>feat/tickets-add-task</t>
        </is>
      </c>
      <c r="H1093" t="inlineStr">
        <is>
          <t>sprint-17</t>
        </is>
      </c>
      <c r="I1093" t="inlineStr">
        <is>
          <t>merged</t>
        </is>
      </c>
      <c r="J1093" t="inlineStr">
        <is>
          <t>c7f24dcc70342000a79805a770c7cfb4b330c716</t>
        </is>
      </c>
      <c r="K1093">
        <f>HYPERLINK("http://gitlab.osmosys.co/incident-reporter/incident-reporter-angular-portal/-/merge_requests/3372#note_231778", "Please do the conditional expression in separate variable and use that var for this if condition as per the best good practice")</f>
        <v/>
      </c>
      <c r="L1093" t="inlineStr">
        <is>
          <t>2025-07-04 01:01:16.652 IST</t>
        </is>
      </c>
      <c r="M1093" t="inlineStr">
        <is>
          <t>Soundariya B</t>
        </is>
      </c>
      <c r="N1093" t="inlineStr">
        <is>
          <t>Yes</t>
        </is>
      </c>
      <c r="O1093" t="inlineStr">
        <is>
          <t>Yes</t>
        </is>
      </c>
      <c r="P1093" t="inlineStr">
        <is>
          <t>Soundariya B</t>
        </is>
      </c>
      <c r="Q1093" t="inlineStr">
        <is>
          <t>Neutral</t>
        </is>
      </c>
    </row>
    <row r="1094">
      <c r="A1094" t="inlineStr">
        <is>
          <t>kulsrestha.j</t>
        </is>
      </c>
      <c r="B1094" t="inlineStr">
        <is>
          <t>Kulsrestha Joshi</t>
        </is>
      </c>
      <c r="C1094" t="inlineStr">
        <is>
          <t>kulsrestha.j@osmosys.co</t>
        </is>
      </c>
      <c r="D1094" t="inlineStr">
        <is>
          <t>incident-reporter</t>
        </is>
      </c>
      <c r="E1094">
        <f>HYPERLINK("http://gitlab.osmosys.co/incident-reporter/incident-reporter-angular-portal", "OQSHA Portal")</f>
        <v/>
      </c>
      <c r="F1094">
        <f>HYPERLINK("http://gitlab.osmosys.co/incident-reporter/incident-reporter-angular-portal/-/merge_requests/3372", "feat: add direct task association from tickets page")</f>
        <v/>
      </c>
      <c r="G1094" t="inlineStr">
        <is>
          <t>feat/tickets-add-task</t>
        </is>
      </c>
      <c r="H1094" t="inlineStr">
        <is>
          <t>sprint-17</t>
        </is>
      </c>
      <c r="I1094" t="inlineStr">
        <is>
          <t>merged</t>
        </is>
      </c>
      <c r="J1094" t="inlineStr">
        <is>
          <t>c7f24dcc70342000a79805a770c7cfb4b330c716</t>
        </is>
      </c>
      <c r="K1094">
        <f>HYPERLINK("http://gitlab.osmosys.co/incident-reporter/incident-reporter-angular-portal/-/merge_requests/3372#note_231903", "Var is not recommended in our project 
![image](/uploads/27efac0d764f0a00fb88fb4a8f8802b3/image.png){width=385 height=63}")</f>
        <v/>
      </c>
      <c r="L1094" t="inlineStr">
        <is>
          <t>2025-07-04 10:54:38.300 IST</t>
        </is>
      </c>
      <c r="M1094" t="inlineStr">
        <is>
          <t>Kulsrestha Joshi</t>
        </is>
      </c>
      <c r="N1094" t="inlineStr">
        <is>
          <t>No</t>
        </is>
      </c>
      <c r="O1094" t="inlineStr">
        <is>
          <t>Yes</t>
        </is>
      </c>
      <c r="P1094" t="inlineStr">
        <is>
          <t>Soundariya B</t>
        </is>
      </c>
      <c r="Q1094" t="inlineStr">
        <is>
          <t>Neutral</t>
        </is>
      </c>
    </row>
    <row r="1095">
      <c r="A1095" t="inlineStr">
        <is>
          <t>kulsrestha.j</t>
        </is>
      </c>
      <c r="B1095" t="inlineStr">
        <is>
          <t>Kulsrestha Joshi</t>
        </is>
      </c>
      <c r="C1095" t="inlineStr">
        <is>
          <t>kulsrestha.j@osmosys.co</t>
        </is>
      </c>
      <c r="D1095" t="inlineStr">
        <is>
          <t>incident-reporter</t>
        </is>
      </c>
      <c r="E1095">
        <f>HYPERLINK("http://gitlab.osmosys.co/incident-reporter/incident-reporter-angular-portal", "OQSHA Portal")</f>
        <v/>
      </c>
      <c r="F1095">
        <f>HYPERLINK("http://gitlab.osmosys.co/incident-reporter/incident-reporter-angular-portal/-/merge_requests/3372", "feat: add direct task association from tickets page")</f>
        <v/>
      </c>
      <c r="G1095" t="inlineStr">
        <is>
          <t>feat/tickets-add-task</t>
        </is>
      </c>
      <c r="H1095" t="inlineStr">
        <is>
          <t>sprint-17</t>
        </is>
      </c>
      <c r="I1095" t="inlineStr">
        <is>
          <t>merged</t>
        </is>
      </c>
      <c r="J1095" t="inlineStr">
        <is>
          <t>c7f24dcc70342000a79805a770c7cfb4b330c716</t>
        </is>
      </c>
      <c r="K1095">
        <f>HYPERLINK("http://gitlab.osmosys.co/incident-reporter/incident-reporter-angular-portal/-/merge_requests/3372#note_231952", "BTW I mentioned var I meant variable which I used in short form.")</f>
        <v/>
      </c>
      <c r="L1095" t="inlineStr">
        <is>
          <t>2025-07-04 11:58:46.824 IST</t>
        </is>
      </c>
      <c r="M1095" t="inlineStr">
        <is>
          <t>Soundariya B</t>
        </is>
      </c>
      <c r="N1095" t="inlineStr">
        <is>
          <t>Yes</t>
        </is>
      </c>
      <c r="O1095" t="inlineStr">
        <is>
          <t>Yes</t>
        </is>
      </c>
      <c r="P1095" t="inlineStr">
        <is>
          <t>Soundariya B</t>
        </is>
      </c>
      <c r="Q1095" t="inlineStr">
        <is>
          <t>Neutral</t>
        </is>
      </c>
    </row>
    <row r="1096">
      <c r="A1096" t="inlineStr">
        <is>
          <t>kulsrestha.j</t>
        </is>
      </c>
      <c r="B1096" t="inlineStr">
        <is>
          <t>Kulsrestha Joshi</t>
        </is>
      </c>
      <c r="C1096" t="inlineStr">
        <is>
          <t>kulsrestha.j@osmosys.co</t>
        </is>
      </c>
      <c r="D1096" t="inlineStr">
        <is>
          <t>incident-reporter</t>
        </is>
      </c>
      <c r="E1096">
        <f>HYPERLINK("http://gitlab.osmosys.co/incident-reporter/incident-reporter-angular-portal", "OQSHA Portal")</f>
        <v/>
      </c>
      <c r="F1096">
        <f>HYPERLINK("http://gitlab.osmosys.co/incident-reporter/incident-reporter-angular-portal/-/merge_requests/3372", "feat: add direct task association from tickets page")</f>
        <v/>
      </c>
      <c r="G1096" t="inlineStr">
        <is>
          <t>feat/tickets-add-task</t>
        </is>
      </c>
      <c r="H1096" t="inlineStr">
        <is>
          <t>sprint-17</t>
        </is>
      </c>
      <c r="I1096" t="inlineStr">
        <is>
          <t>merged</t>
        </is>
      </c>
      <c r="J1096" t="inlineStr">
        <is>
          <t>ebb562f0f14e7d1bcc8bc376d72a98fc5b49c6cb</t>
        </is>
      </c>
      <c r="K1096">
        <f>HYPERLINK("http://gitlab.osmosys.co/incident-reporter/incident-reporter-angular-portal/-/merge_requests/3372#note_231779", "No recommended")</f>
        <v/>
      </c>
      <c r="L1096" t="inlineStr">
        <is>
          <t>2025-07-04 01:01:16.739 IST</t>
        </is>
      </c>
      <c r="M1096" t="inlineStr">
        <is>
          <t>Soundariya B</t>
        </is>
      </c>
      <c r="N1096" t="inlineStr">
        <is>
          <t>Yes</t>
        </is>
      </c>
      <c r="O1096" t="inlineStr">
        <is>
          <t>Yes</t>
        </is>
      </c>
      <c r="P1096" t="inlineStr">
        <is>
          <t>Soundariya B</t>
        </is>
      </c>
      <c r="Q1096" t="inlineStr">
        <is>
          <t>Bad</t>
        </is>
      </c>
    </row>
    <row r="1097">
      <c r="A1097" t="inlineStr">
        <is>
          <t>kulsrestha.j</t>
        </is>
      </c>
      <c r="B1097" t="inlineStr">
        <is>
          <t>Kulsrestha Joshi</t>
        </is>
      </c>
      <c r="C1097" t="inlineStr">
        <is>
          <t>kulsrestha.j@osmosys.co</t>
        </is>
      </c>
      <c r="D1097" t="inlineStr">
        <is>
          <t>incident-reporter</t>
        </is>
      </c>
      <c r="E1097">
        <f>HYPERLINK("http://gitlab.osmosys.co/incident-reporter/incident-reporter-angular-portal", "OQSHA Portal")</f>
        <v/>
      </c>
      <c r="F1097">
        <f>HYPERLINK("http://gitlab.osmosys.co/incident-reporter/incident-reporter-angular-portal/-/merge_requests/3372", "feat: add direct task association from tickets page")</f>
        <v/>
      </c>
      <c r="G1097" t="inlineStr">
        <is>
          <t>feat/tickets-add-task</t>
        </is>
      </c>
      <c r="H1097" t="inlineStr">
        <is>
          <t>sprint-17</t>
        </is>
      </c>
      <c r="I1097" t="inlineStr">
        <is>
          <t>merged</t>
        </is>
      </c>
      <c r="J1097" t="inlineStr">
        <is>
          <t>ebb562f0f14e7d1bcc8bc376d72a98fc5b49c6cb</t>
        </is>
      </c>
      <c r="K1097">
        <f>HYPERLINK("http://gitlab.osmosys.co/incident-reporter/incident-reporter-angular-portal/-/merge_requests/3372#note_231893", "Please check the coding standards 
![image](/uploads/1e93b91ab77c63754d6a4a91dc0640d5/image.png)
![image](/uploads/ca5527ed88cbd391427d5a0514f16af5/image.png){width=335 height=102}
The same comment was raised earlier and Raj said shorthand property is fine")</f>
        <v/>
      </c>
      <c r="L1097" t="inlineStr">
        <is>
          <t>2025-07-04 10:44:10.184 IST</t>
        </is>
      </c>
      <c r="M1097" t="inlineStr">
        <is>
          <t>Kulsrestha Joshi</t>
        </is>
      </c>
      <c r="N1097" t="inlineStr">
        <is>
          <t>No</t>
        </is>
      </c>
      <c r="O1097" t="inlineStr">
        <is>
          <t>Yes</t>
        </is>
      </c>
      <c r="P1097" t="inlineStr">
        <is>
          <t>Soundariya B</t>
        </is>
      </c>
      <c r="Q1097" t="inlineStr">
        <is>
          <t>Bad</t>
        </is>
      </c>
    </row>
    <row r="1098">
      <c r="A1098" t="inlineStr">
        <is>
          <t>kulsrestha.j</t>
        </is>
      </c>
      <c r="B1098" t="inlineStr">
        <is>
          <t>Kulsrestha Joshi</t>
        </is>
      </c>
      <c r="C1098" t="inlineStr">
        <is>
          <t>kulsrestha.j@osmosys.co</t>
        </is>
      </c>
      <c r="D1098" t="inlineStr">
        <is>
          <t>incident-reporter</t>
        </is>
      </c>
      <c r="E1098">
        <f>HYPERLINK("http://gitlab.osmosys.co/incident-reporter/incident-reporter-angular-portal", "OQSHA Portal")</f>
        <v/>
      </c>
      <c r="F1098">
        <f>HYPERLINK("http://gitlab.osmosys.co/incident-reporter/incident-reporter-angular-portal/-/merge_requests/3372", "feat: add direct task association from tickets page")</f>
        <v/>
      </c>
      <c r="G1098" t="inlineStr">
        <is>
          <t>feat/tickets-add-task</t>
        </is>
      </c>
      <c r="H1098" t="inlineStr">
        <is>
          <t>sprint-17</t>
        </is>
      </c>
      <c r="I1098" t="inlineStr">
        <is>
          <t>merged</t>
        </is>
      </c>
      <c r="J1098" t="inlineStr">
        <is>
          <t>ebb562f0f14e7d1bcc8bc376d72a98fc5b49c6cb</t>
        </is>
      </c>
      <c r="K1098">
        <f>HYPERLINK("http://gitlab.osmosys.co/incident-reporter/incident-reporter-angular-portal/-/merge_requests/3372#note_231980", "https://github.com/OsmosysSoftware/dev-standards/blob/main/coding-standards/css.md
I checked the coding standard based on that only I add the comment
![image](/uploads/db39e9fad97f2d804ec5b4ecbf700ae5/image.png)
![image](/uploads/60b7034a23e77dc966a437fb1d95c23a/image.png)")</f>
        <v/>
      </c>
      <c r="L1098" t="inlineStr">
        <is>
          <t>2025-07-04 12:24:27.340 IST</t>
        </is>
      </c>
      <c r="M1098" t="inlineStr">
        <is>
          <t>Soundariya B</t>
        </is>
      </c>
      <c r="N1098" t="inlineStr">
        <is>
          <t>Yes</t>
        </is>
      </c>
      <c r="O1098" t="inlineStr">
        <is>
          <t>Yes</t>
        </is>
      </c>
      <c r="P1098" t="inlineStr">
        <is>
          <t>Soundariya B</t>
        </is>
      </c>
      <c r="Q1098" t="inlineStr">
        <is>
          <t>Bad</t>
        </is>
      </c>
    </row>
    <row r="1099">
      <c r="A1099" t="inlineStr">
        <is>
          <t>kulsrestha.j</t>
        </is>
      </c>
      <c r="B1099" t="inlineStr">
        <is>
          <t>Kulsrestha Joshi</t>
        </is>
      </c>
      <c r="C1099" t="inlineStr">
        <is>
          <t>kulsrestha.j@osmosys.co</t>
        </is>
      </c>
      <c r="D1099" t="inlineStr">
        <is>
          <t>incident-reporter</t>
        </is>
      </c>
      <c r="E1099">
        <f>HYPERLINK("http://gitlab.osmosys.co/incident-reporter/incident-reporter-angular-portal", "OQSHA Portal")</f>
        <v/>
      </c>
      <c r="F1099">
        <f>HYPERLINK("http://gitlab.osmosys.co/incident-reporter/incident-reporter-angular-portal/-/merge_requests/3372", "feat: add direct task association from tickets page")</f>
        <v/>
      </c>
      <c r="G1099" t="inlineStr">
        <is>
          <t>feat/tickets-add-task</t>
        </is>
      </c>
      <c r="H1099" t="inlineStr">
        <is>
          <t>sprint-17</t>
        </is>
      </c>
      <c r="I1099" t="inlineStr">
        <is>
          <t>merged</t>
        </is>
      </c>
      <c r="J1099" t="inlineStr">
        <is>
          <t>ebb562f0f14e7d1bcc8bc376d72a98fc5b49c6cb</t>
        </is>
      </c>
      <c r="K1099">
        <f>HYPERLINK("http://gitlab.osmosys.co/incident-reporter/incident-reporter-angular-portal/-/merge_requests/3372#note_231986", "The example you are giving only 1 value is being changed so it says to use the specific property , in my code 2 values are changing , the guide clearly says use short-hand property wherever possible .
![image](/uploads/2467a33596849d36d918318f87baa24d/image.png){width=866 height=259}
![image](/uploads/72b7ede07ca9bc0ef99e2867696a4feb/image.png){width=1218 height=369}")</f>
        <v/>
      </c>
      <c r="L1099" t="inlineStr">
        <is>
          <t>2025-07-04 12:33:27.102 IST</t>
        </is>
      </c>
      <c r="M1099" t="inlineStr">
        <is>
          <t>Kulsrestha Joshi</t>
        </is>
      </c>
      <c r="N1099" t="inlineStr">
        <is>
          <t>No</t>
        </is>
      </c>
      <c r="O1099" t="inlineStr">
        <is>
          <t>Yes</t>
        </is>
      </c>
      <c r="P1099" t="inlineStr">
        <is>
          <t>Soundariya B</t>
        </is>
      </c>
      <c r="Q1099" t="inlineStr">
        <is>
          <t>Bad</t>
        </is>
      </c>
    </row>
    <row r="1100">
      <c r="A1100" t="inlineStr">
        <is>
          <t>kulsrestha.j</t>
        </is>
      </c>
      <c r="B1100" t="inlineStr">
        <is>
          <t>Kulsrestha Joshi</t>
        </is>
      </c>
      <c r="C1100" t="inlineStr">
        <is>
          <t>kulsrestha.j@osmosys.co</t>
        </is>
      </c>
      <c r="D1100" t="inlineStr">
        <is>
          <t>incident-reporter</t>
        </is>
      </c>
      <c r="E1100">
        <f>HYPERLINK("http://gitlab.osmosys.co/incident-reporter/incident-reporter-angular-portal", "OQSHA Portal")</f>
        <v/>
      </c>
      <c r="F1100">
        <f>HYPERLINK("http://gitlab.osmosys.co/incident-reporter/incident-reporter-angular-portal/-/merge_requests/3372", "feat: add direct task association from tickets page")</f>
        <v/>
      </c>
      <c r="G1100" t="inlineStr">
        <is>
          <t>feat/tickets-add-task</t>
        </is>
      </c>
      <c r="H1100" t="inlineStr">
        <is>
          <t>sprint-17</t>
        </is>
      </c>
      <c r="I1100" t="inlineStr">
        <is>
          <t>merged</t>
        </is>
      </c>
      <c r="J1100" t="inlineStr">
        <is>
          <t>ebb562f0f14e7d1bcc8bc376d72a98fc5b49c6cb</t>
        </is>
      </c>
      <c r="K1100">
        <f>HYPERLINK("http://gitlab.osmosys.co/incident-reporter/incident-reporter-angular-portal/-/merge_requests/3372#note_232031", "When the values are not 0, we can use shorthand notation. Another thing is we should not use px when the value is 0.")</f>
        <v/>
      </c>
      <c r="L1100" t="inlineStr">
        <is>
          <t>2025-07-04 13:24:15.793 IST</t>
        </is>
      </c>
      <c r="M1100" t="inlineStr">
        <is>
          <t>Raj Kumar</t>
        </is>
      </c>
      <c r="N1100" t="inlineStr">
        <is>
          <t>Yes</t>
        </is>
      </c>
      <c r="O1100" t="inlineStr">
        <is>
          <t>Yes</t>
        </is>
      </c>
      <c r="P1100" t="inlineStr">
        <is>
          <t>Soundariya B</t>
        </is>
      </c>
      <c r="Q1100" t="inlineStr">
        <is>
          <t>Bad</t>
        </is>
      </c>
    </row>
    <row r="1101">
      <c r="A1101" t="inlineStr">
        <is>
          <t>kulsrestha.j</t>
        </is>
      </c>
      <c r="B1101" t="inlineStr">
        <is>
          <t>Kulsrestha Joshi</t>
        </is>
      </c>
      <c r="C1101" t="inlineStr">
        <is>
          <t>kulsrestha.j@osmosys.co</t>
        </is>
      </c>
      <c r="D1101" t="inlineStr">
        <is>
          <t>incident-reporter</t>
        </is>
      </c>
      <c r="E1101">
        <f>HYPERLINK("http://gitlab.osmosys.co/incident-reporter/incident-reporter-angular-portal", "OQSHA Portal")</f>
        <v/>
      </c>
      <c r="F1101">
        <f>HYPERLINK("http://gitlab.osmosys.co/incident-reporter/incident-reporter-angular-portal/-/merge_requests/3372", "feat: add direct task association from tickets page")</f>
        <v/>
      </c>
      <c r="G1101" t="inlineStr">
        <is>
          <t>feat/tickets-add-task</t>
        </is>
      </c>
      <c r="H1101" t="inlineStr">
        <is>
          <t>sprint-17</t>
        </is>
      </c>
      <c r="I1101" t="inlineStr">
        <is>
          <t>merged</t>
        </is>
      </c>
      <c r="J1101" t="inlineStr">
        <is>
          <t>ebb562f0f14e7d1bcc8bc376d72a98fc5b49c6cb</t>
        </is>
      </c>
      <c r="K1101">
        <f>HYPERLINK("http://gitlab.osmosys.co/incident-reporter/incident-reporter-angular-portal/-/merge_requests/3372#note_232064", "Updated")</f>
        <v/>
      </c>
      <c r="L1101" t="inlineStr">
        <is>
          <t>2025-07-04 14:09:51.872 IST</t>
        </is>
      </c>
      <c r="M1101" t="inlineStr">
        <is>
          <t>Kulsrestha Joshi</t>
        </is>
      </c>
      <c r="N1101" t="inlineStr">
        <is>
          <t>No</t>
        </is>
      </c>
      <c r="O1101" t="inlineStr">
        <is>
          <t>Yes</t>
        </is>
      </c>
      <c r="P1101" t="inlineStr">
        <is>
          <t>Soundariya B</t>
        </is>
      </c>
      <c r="Q1101" t="inlineStr">
        <is>
          <t>Bad</t>
        </is>
      </c>
    </row>
    <row r="1102">
      <c r="A1102" t="inlineStr">
        <is>
          <t>kulsrestha.j</t>
        </is>
      </c>
      <c r="B1102" t="inlineStr">
        <is>
          <t>Kulsrestha Joshi</t>
        </is>
      </c>
      <c r="C1102" t="inlineStr">
        <is>
          <t>kulsrestha.j@osmosys.co</t>
        </is>
      </c>
      <c r="D1102" t="inlineStr">
        <is>
          <t>incident-reporter</t>
        </is>
      </c>
      <c r="E1102">
        <f>HYPERLINK("http://gitlab.osmosys.co/incident-reporter/incident-reporter-angular-portal", "OQSHA Portal")</f>
        <v/>
      </c>
      <c r="F1102">
        <f>HYPERLINK("http://gitlab.osmosys.co/incident-reporter/incident-reporter-angular-portal/-/merge_requests/3372", "feat: add direct task association from tickets page")</f>
        <v/>
      </c>
      <c r="G1102" t="inlineStr">
        <is>
          <t>feat/tickets-add-task</t>
        </is>
      </c>
      <c r="H1102" t="inlineStr">
        <is>
          <t>sprint-17</t>
        </is>
      </c>
      <c r="I1102" t="inlineStr">
        <is>
          <t>merged</t>
        </is>
      </c>
      <c r="J1102" t="inlineStr">
        <is>
          <t>333fb7f661091c42c359b8f13d2e3431b592eb6a</t>
        </is>
      </c>
      <c r="K1102">
        <f>HYPERLINK("http://gitlab.osmosys.co/incident-reporter/incident-reporter-angular-portal/-/merge_requests/3372#note_231780", "Remove these")</f>
        <v/>
      </c>
      <c r="L1102" t="inlineStr">
        <is>
          <t>2025-07-04 01:01:16.830 IST</t>
        </is>
      </c>
      <c r="M1102" t="inlineStr">
        <is>
          <t>Soundariya B</t>
        </is>
      </c>
      <c r="N1102" t="inlineStr">
        <is>
          <t>Yes</t>
        </is>
      </c>
      <c r="O1102" t="inlineStr">
        <is>
          <t>Yes</t>
        </is>
      </c>
      <c r="P1102" t="inlineStr">
        <is>
          <t>Soundariya B</t>
        </is>
      </c>
      <c r="Q1102" t="inlineStr">
        <is>
          <t>Bad</t>
        </is>
      </c>
    </row>
    <row r="1103">
      <c r="A1103" t="inlineStr">
        <is>
          <t>kulsrestha.j</t>
        </is>
      </c>
      <c r="B1103" t="inlineStr">
        <is>
          <t>Kulsrestha Joshi</t>
        </is>
      </c>
      <c r="C1103" t="inlineStr">
        <is>
          <t>kulsrestha.j@osmosys.co</t>
        </is>
      </c>
      <c r="D1103" t="inlineStr">
        <is>
          <t>incident-reporter</t>
        </is>
      </c>
      <c r="E1103">
        <f>HYPERLINK("http://gitlab.osmosys.co/incident-reporter/incident-reporter-angular-portal", "OQSHA Portal")</f>
        <v/>
      </c>
      <c r="F1103">
        <f>HYPERLINK("http://gitlab.osmosys.co/incident-reporter/incident-reporter-angular-portal/-/merge_requests/3372", "feat: add direct task association from tickets page")</f>
        <v/>
      </c>
      <c r="G1103" t="inlineStr">
        <is>
          <t>feat/tickets-add-task</t>
        </is>
      </c>
      <c r="H1103" t="inlineStr">
        <is>
          <t>sprint-17</t>
        </is>
      </c>
      <c r="I1103" t="inlineStr">
        <is>
          <t>merged</t>
        </is>
      </c>
      <c r="J1103" t="inlineStr">
        <is>
          <t>333fb7f661091c42c359b8f13d2e3431b592eb6a</t>
        </is>
      </c>
      <c r="K1103">
        <f>HYPERLINK("http://gitlab.osmosys.co/incident-reporter/incident-reporter-angular-portal/-/merge_requests/3372#note_231895", "I didn't add these , these are not in my changes , if i remove them there will be a lot of changes, lot of things to test and check . Can't do this.")</f>
        <v/>
      </c>
      <c r="L1103" t="inlineStr">
        <is>
          <t>2025-07-04 10:45:51.098 IST</t>
        </is>
      </c>
      <c r="M1103" t="inlineStr">
        <is>
          <t>Kulsrestha Joshi</t>
        </is>
      </c>
      <c r="N1103" t="inlineStr">
        <is>
          <t>No</t>
        </is>
      </c>
      <c r="O1103" t="inlineStr">
        <is>
          <t>Yes</t>
        </is>
      </c>
      <c r="P1103" t="inlineStr">
        <is>
          <t>Soundariya B</t>
        </is>
      </c>
      <c r="Q1103" t="inlineStr">
        <is>
          <t>Bad</t>
        </is>
      </c>
    </row>
    <row r="1104">
      <c r="A1104" t="inlineStr">
        <is>
          <t>kulsrestha.j</t>
        </is>
      </c>
      <c r="B1104" t="inlineStr">
        <is>
          <t>Kulsrestha Joshi</t>
        </is>
      </c>
      <c r="C1104" t="inlineStr">
        <is>
          <t>kulsrestha.j@osmosys.co</t>
        </is>
      </c>
      <c r="D1104" t="inlineStr">
        <is>
          <t>incident-reporter</t>
        </is>
      </c>
      <c r="E1104">
        <f>HYPERLINK("http://gitlab.osmosys.co/incident-reporter/incident-reporter-angular-portal", "OQSHA Portal")</f>
        <v/>
      </c>
      <c r="F1104">
        <f>HYPERLINK("http://gitlab.osmosys.co/incident-reporter/incident-reporter-angular-portal/-/merge_requests/3372", "feat: add direct task association from tickets page")</f>
        <v/>
      </c>
      <c r="G1104" t="inlineStr">
        <is>
          <t>feat/tickets-add-task</t>
        </is>
      </c>
      <c r="H1104" t="inlineStr">
        <is>
          <t>sprint-17</t>
        </is>
      </c>
      <c r="I1104" t="inlineStr">
        <is>
          <t>merged</t>
        </is>
      </c>
      <c r="J1104" t="inlineStr">
        <is>
          <t>333fb7f661091c42c359b8f13d2e3431b592eb6a</t>
        </is>
      </c>
      <c r="K1104">
        <f>HYPERLINK("http://gitlab.osmosys.co/incident-reporter/incident-reporter-angular-portal/-/merge_requests/3372#note_231957", "Ok please do this fix in your next task PR")</f>
        <v/>
      </c>
      <c r="L1104" t="inlineStr">
        <is>
          <t>2025-07-04 12:05:11.745 IST</t>
        </is>
      </c>
      <c r="M1104" t="inlineStr">
        <is>
          <t>Soundariya B</t>
        </is>
      </c>
      <c r="N1104" t="inlineStr">
        <is>
          <t>Yes</t>
        </is>
      </c>
      <c r="O1104" t="inlineStr">
        <is>
          <t>Yes</t>
        </is>
      </c>
      <c r="P1104" t="inlineStr">
        <is>
          <t>Soundariya B</t>
        </is>
      </c>
      <c r="Q1104" t="inlineStr">
        <is>
          <t>Bad</t>
        </is>
      </c>
    </row>
    <row r="1105">
      <c r="A1105" t="inlineStr">
        <is>
          <t>kulsrestha.j</t>
        </is>
      </c>
      <c r="B1105" t="inlineStr">
        <is>
          <t>Kulsrestha Joshi</t>
        </is>
      </c>
      <c r="C1105" t="inlineStr">
        <is>
          <t>kulsrestha.j@osmosys.co</t>
        </is>
      </c>
      <c r="D1105" t="inlineStr">
        <is>
          <t>incident-reporter</t>
        </is>
      </c>
      <c r="E1105">
        <f>HYPERLINK("http://gitlab.osmosys.co/incident-reporter/incident-reporter-app", "OQSHA Mobile App")</f>
        <v/>
      </c>
      <c r="F1105">
        <f>HYPERLINK("http://gitlab.osmosys.co/incident-reporter/incident-reporter-app/-/merge_requests/1815", "fix: fix  attachment preview for task")</f>
        <v/>
      </c>
      <c r="G1105" t="inlineStr">
        <is>
          <t>fix/task-attachment-preview</t>
        </is>
      </c>
      <c r="H1105" t="inlineStr">
        <is>
          <t>sprint-18</t>
        </is>
      </c>
      <c r="I1105" t="inlineStr">
        <is>
          <t>merged</t>
        </is>
      </c>
      <c r="J1105" t="inlineStr">
        <is>
          <t>f4f4dcb5be48905253d957f6b48971d9f706a470</t>
        </is>
      </c>
      <c r="K1105">
        <f>HYPERLINK("http://gitlab.osmosys.co/incident-reporter/incident-reporter-app/-/merge_requests/1815#note_241101", "Why new CSS with new classname its added here instead of existing classname CSS modification img-remove-icon?
Please same classname and modify the required CSS there itself
What is img-cross? bad classname please use proper classname")</f>
        <v/>
      </c>
      <c r="L1105" t="inlineStr">
        <is>
          <t>2025-07-23 20:22:53.476 IST</t>
        </is>
      </c>
      <c r="M1105" t="inlineStr">
        <is>
          <t>Soundariya B</t>
        </is>
      </c>
      <c r="N1105" t="inlineStr">
        <is>
          <t>Yes</t>
        </is>
      </c>
      <c r="O1105" t="inlineStr">
        <is>
          <t>Yes</t>
        </is>
      </c>
      <c r="P1105" t="inlineStr">
        <is>
          <t>Soundariya B</t>
        </is>
      </c>
      <c r="Q1105" t="inlineStr">
        <is>
          <t>Neutral</t>
        </is>
      </c>
    </row>
    <row r="1106">
      <c r="A1106" t="inlineStr">
        <is>
          <t>kulsrestha.j</t>
        </is>
      </c>
      <c r="B1106" t="inlineStr">
        <is>
          <t>Kulsrestha Joshi</t>
        </is>
      </c>
      <c r="C1106" t="inlineStr">
        <is>
          <t>kulsrestha.j@osmosys.co</t>
        </is>
      </c>
      <c r="D1106" t="inlineStr">
        <is>
          <t>incident-reporter</t>
        </is>
      </c>
      <c r="E1106">
        <f>HYPERLINK("http://gitlab.osmosys.co/incident-reporter/incident-reporter-app", "OQSHA Mobile App")</f>
        <v/>
      </c>
      <c r="F1106">
        <f>HYPERLINK("http://gitlab.osmosys.co/incident-reporter/incident-reporter-app/-/merge_requests/1815", "fix: fix  attachment preview for task")</f>
        <v/>
      </c>
      <c r="G1106" t="inlineStr">
        <is>
          <t>fix/task-attachment-preview</t>
        </is>
      </c>
      <c r="H1106" t="inlineStr">
        <is>
          <t>sprint-18</t>
        </is>
      </c>
      <c r="I1106" t="inlineStr">
        <is>
          <t>merged</t>
        </is>
      </c>
      <c r="J1106" t="inlineStr">
        <is>
          <t>f4f4dcb5be48905253d957f6b48971d9f706a470</t>
        </is>
      </c>
      <c r="K1106">
        <f>HYPERLINK("http://gitlab.osmosys.co/incident-reporter/incident-reporter-app/-/merge_requests/1815#note_241221", "The old css class was wrongly used for the cross button , that was for trash icon , which created that bug , so i updated with meaningful name for both image and video")</f>
        <v/>
      </c>
      <c r="L1106" t="inlineStr">
        <is>
          <t>2025-07-24 10:49:36.358 IST</t>
        </is>
      </c>
      <c r="M1106" t="inlineStr">
        <is>
          <t>Kulsrestha Joshi</t>
        </is>
      </c>
      <c r="N1106" t="inlineStr">
        <is>
          <t>No</t>
        </is>
      </c>
      <c r="O1106" t="inlineStr">
        <is>
          <t>Yes</t>
        </is>
      </c>
      <c r="P1106" t="inlineStr">
        <is>
          <t>Soundariya B</t>
        </is>
      </c>
      <c r="Q1106" t="inlineStr">
        <is>
          <t>Neutral</t>
        </is>
      </c>
    </row>
    <row r="1107">
      <c r="A1107" t="inlineStr">
        <is>
          <t>kulsrestha.j</t>
        </is>
      </c>
      <c r="B1107" t="inlineStr">
        <is>
          <t>Kulsrestha Joshi</t>
        </is>
      </c>
      <c r="C1107" t="inlineStr">
        <is>
          <t>kulsrestha.j@osmosys.co</t>
        </is>
      </c>
      <c r="D1107" t="inlineStr">
        <is>
          <t>incident-reporter</t>
        </is>
      </c>
      <c r="E1107">
        <f>HYPERLINK("http://gitlab.osmosys.co/incident-reporter/incident-reporter-app", "OQSHA Mobile App")</f>
        <v/>
      </c>
      <c r="F1107">
        <f>HYPERLINK("http://gitlab.osmosys.co/incident-reporter/incident-reporter-app/-/merge_requests/1815", "fix: fix  attachment preview for task")</f>
        <v/>
      </c>
      <c r="G1107" t="inlineStr">
        <is>
          <t>fix/task-attachment-preview</t>
        </is>
      </c>
      <c r="H1107" t="inlineStr">
        <is>
          <t>sprint-18</t>
        </is>
      </c>
      <c r="I1107" t="inlineStr">
        <is>
          <t>merged</t>
        </is>
      </c>
      <c r="J1107" t="inlineStr">
        <is>
          <t>fc929547ab8097134a5ab7889124d1e59866044d</t>
        </is>
      </c>
      <c r="K1107">
        <f>HYPERLINK("http://gitlab.osmosys.co/incident-reporter/incident-reporter-app/-/merge_requests/1815#note_241102", "Why is this CSS class removed from edit icon img?")</f>
        <v/>
      </c>
      <c r="L1107" t="inlineStr">
        <is>
          <t>2025-07-23 20:22:53.565 IST</t>
        </is>
      </c>
      <c r="M1107" t="inlineStr">
        <is>
          <t>Soundariya B</t>
        </is>
      </c>
      <c r="N1107" t="inlineStr">
        <is>
          <t>Yes</t>
        </is>
      </c>
      <c r="O1107" t="inlineStr">
        <is>
          <t>Yes</t>
        </is>
      </c>
      <c r="P1107" t="inlineStr">
        <is>
          <t>Soundariya B</t>
        </is>
      </c>
      <c r="Q1107" t="inlineStr">
        <is>
          <t>Neutral</t>
        </is>
      </c>
    </row>
    <row r="1108">
      <c r="A1108" t="inlineStr">
        <is>
          <t>kulsrestha.j</t>
        </is>
      </c>
      <c r="B1108" t="inlineStr">
        <is>
          <t>Kulsrestha Joshi</t>
        </is>
      </c>
      <c r="C1108" t="inlineStr">
        <is>
          <t>kulsrestha.j@osmosys.co</t>
        </is>
      </c>
      <c r="D1108" t="inlineStr">
        <is>
          <t>incident-reporter</t>
        </is>
      </c>
      <c r="E1108">
        <f>HYPERLINK("http://gitlab.osmosys.co/incident-reporter/incident-reporter-app", "OQSHA Mobile App")</f>
        <v/>
      </c>
      <c r="F1108">
        <f>HYPERLINK("http://gitlab.osmosys.co/incident-reporter/incident-reporter-app/-/merge_requests/1815", "fix: fix  attachment preview for task")</f>
        <v/>
      </c>
      <c r="G1108" t="inlineStr">
        <is>
          <t>fix/task-attachment-preview</t>
        </is>
      </c>
      <c r="H1108" t="inlineStr">
        <is>
          <t>sprint-18</t>
        </is>
      </c>
      <c r="I1108" t="inlineStr">
        <is>
          <t>merged</t>
        </is>
      </c>
      <c r="J1108" t="inlineStr">
        <is>
          <t>fc929547ab8097134a5ab7889124d1e59866044d</t>
        </is>
      </c>
      <c r="K1108">
        <f>HYPERLINK("http://gitlab.osmosys.co/incident-reporter/incident-reporter-app/-/merge_requests/1815#note_241220", "Due to this the image preview was breaking , that's what created this bug . So had to remove them")</f>
        <v/>
      </c>
      <c r="L1108" t="inlineStr">
        <is>
          <t>2025-07-24 10:49:16.167 IST</t>
        </is>
      </c>
      <c r="M1108" t="inlineStr">
        <is>
          <t>Kulsrestha Joshi</t>
        </is>
      </c>
      <c r="N1108" t="inlineStr">
        <is>
          <t>No</t>
        </is>
      </c>
      <c r="O1108" t="inlineStr">
        <is>
          <t>Yes</t>
        </is>
      </c>
      <c r="P1108" t="inlineStr">
        <is>
          <t>Soundariya B</t>
        </is>
      </c>
      <c r="Q1108" t="inlineStr">
        <is>
          <t>Neutral</t>
        </is>
      </c>
    </row>
    <row r="1109">
      <c r="A1109" t="inlineStr">
        <is>
          <t>kulsrestha.j</t>
        </is>
      </c>
      <c r="B1109" t="inlineStr">
        <is>
          <t>Kulsrestha Joshi</t>
        </is>
      </c>
      <c r="C1109" t="inlineStr">
        <is>
          <t>kulsrestha.j@osmosys.co</t>
        </is>
      </c>
      <c r="D1109" t="inlineStr">
        <is>
          <t>incident-reporter</t>
        </is>
      </c>
      <c r="E1109">
        <f>HYPERLINK("http://gitlab.osmosys.co/incident-reporter/incident-reporter-app", "OQSHA Mobile App")</f>
        <v/>
      </c>
      <c r="F1109">
        <f>HYPERLINK("http://gitlab.osmosys.co/incident-reporter/incident-reporter-app/-/merge_requests/1815", "fix: fix  attachment preview for task")</f>
        <v/>
      </c>
      <c r="G1109" t="inlineStr">
        <is>
          <t>fix/task-attachment-preview</t>
        </is>
      </c>
      <c r="H1109" t="inlineStr">
        <is>
          <t>sprint-18</t>
        </is>
      </c>
      <c r="I1109" t="inlineStr">
        <is>
          <t>merged</t>
        </is>
      </c>
      <c r="J1109" t="inlineStr">
        <is>
          <t>b42d621a391d68ee732aa7514e51de0acf44b613</t>
        </is>
      </c>
      <c r="K1109">
        <f>HYPERLINK("http://gitlab.osmosys.co/incident-reporter/incident-reporter-app/-/merge_requests/1815#note_241103", "variable name should be - base64Str")</f>
        <v/>
      </c>
      <c r="L1109" t="inlineStr">
        <is>
          <t>2025-07-23 20:22:53.642 IST</t>
        </is>
      </c>
      <c r="M1109" t="inlineStr">
        <is>
          <t>Soundariya B</t>
        </is>
      </c>
      <c r="N1109" t="inlineStr">
        <is>
          <t>Yes</t>
        </is>
      </c>
      <c r="O1109" t="inlineStr">
        <is>
          <t>Yes</t>
        </is>
      </c>
      <c r="P1109" t="inlineStr">
        <is>
          <t>Soundariya B</t>
        </is>
      </c>
      <c r="Q1109" t="inlineStr">
        <is>
          <t>Bad</t>
        </is>
      </c>
    </row>
    <row r="1110">
      <c r="A1110" t="inlineStr">
        <is>
          <t>kulsrestha.j</t>
        </is>
      </c>
      <c r="B1110" t="inlineStr">
        <is>
          <t>Kulsrestha Joshi</t>
        </is>
      </c>
      <c r="C1110" t="inlineStr">
        <is>
          <t>kulsrestha.j@osmosys.co</t>
        </is>
      </c>
      <c r="D1110" t="inlineStr">
        <is>
          <t>incident-reporter</t>
        </is>
      </c>
      <c r="E1110">
        <f>HYPERLINK("http://gitlab.osmosys.co/incident-reporter/incident-reporter-app", "OQSHA Mobile App")</f>
        <v/>
      </c>
      <c r="F1110">
        <f>HYPERLINK("http://gitlab.osmosys.co/incident-reporter/incident-reporter-app/-/merge_requests/1815", "fix: fix  attachment preview for task")</f>
        <v/>
      </c>
      <c r="G1110" t="inlineStr">
        <is>
          <t>fix/task-attachment-preview</t>
        </is>
      </c>
      <c r="H1110" t="inlineStr">
        <is>
          <t>sprint-18</t>
        </is>
      </c>
      <c r="I1110" t="inlineStr">
        <is>
          <t>merged</t>
        </is>
      </c>
      <c r="J1110" t="inlineStr">
        <is>
          <t>b42d621a391d68ee732aa7514e51de0acf44b613</t>
        </is>
      </c>
      <c r="K1110">
        <f>HYPERLINK("http://gitlab.osmosys.co/incident-reporter/incident-reporter-app/-/merge_requests/1815#note_241213", "UPDATED")</f>
        <v/>
      </c>
      <c r="L1110" t="inlineStr">
        <is>
          <t>2025-07-24 10:22:09.291 IST</t>
        </is>
      </c>
      <c r="M1110" t="inlineStr">
        <is>
          <t>Kulsrestha Joshi</t>
        </is>
      </c>
      <c r="N1110" t="inlineStr">
        <is>
          <t>No</t>
        </is>
      </c>
      <c r="O1110" t="inlineStr">
        <is>
          <t>Yes</t>
        </is>
      </c>
      <c r="P1110" t="inlineStr">
        <is>
          <t>Soundariya B</t>
        </is>
      </c>
      <c r="Q1110" t="inlineStr">
        <is>
          <t>Bad</t>
        </is>
      </c>
    </row>
    <row r="1111">
      <c r="A1111" t="inlineStr">
        <is>
          <t>kulsrestha.j</t>
        </is>
      </c>
      <c r="B1111" t="inlineStr">
        <is>
          <t>Kulsrestha Joshi</t>
        </is>
      </c>
      <c r="C1111" t="inlineStr">
        <is>
          <t>kulsrestha.j@osmosys.co</t>
        </is>
      </c>
      <c r="D1111" t="inlineStr">
        <is>
          <t>incident-reporter</t>
        </is>
      </c>
      <c r="E1111">
        <f>HYPERLINK("http://gitlab.osmosys.co/incident-reporter/incident-reporter-app", "OQSHA Mobile App")</f>
        <v/>
      </c>
      <c r="F1111">
        <f>HYPERLINK("http://gitlab.osmosys.co/incident-reporter/incident-reporter-app/-/merge_requests/1815", "fix: fix  attachment preview for task")</f>
        <v/>
      </c>
      <c r="G1111" t="inlineStr">
        <is>
          <t>fix/task-attachment-preview</t>
        </is>
      </c>
      <c r="H1111" t="inlineStr">
        <is>
          <t>sprint-18</t>
        </is>
      </c>
      <c r="I1111" t="inlineStr">
        <is>
          <t>merged</t>
        </is>
      </c>
      <c r="J1111" t="inlineStr">
        <is>
          <t>d56fa563555faf65d98cf521e8b81bd36a710423</t>
        </is>
      </c>
      <c r="K1111">
        <f>HYPERLINK("http://gitlab.osmosys.co/incident-reporter/incident-reporter-app/-/merge_requests/1815#note_241104", "This mentioned bug is not fixed in this PR please check and fix it -  **And there should be confirm and close buttons after clicking photo through camera like in other modules.**
[Ref image](![image](/uploads/d5d899001539edf3bea7a4406cca2813/image.png))")</f>
        <v/>
      </c>
      <c r="L1111" t="inlineStr">
        <is>
          <t>2025-07-23 20:22:53.685 IST</t>
        </is>
      </c>
      <c r="M1111" t="inlineStr">
        <is>
          <t>Soundariya B</t>
        </is>
      </c>
      <c r="N1111" t="inlineStr">
        <is>
          <t>Yes</t>
        </is>
      </c>
      <c r="O1111" t="inlineStr">
        <is>
          <t>Yes</t>
        </is>
      </c>
      <c r="P1111" t="inlineStr">
        <is>
          <t>Soundariya B</t>
        </is>
      </c>
      <c r="Q1111" t="inlineStr">
        <is>
          <t>Neutral</t>
        </is>
      </c>
    </row>
    <row r="1112">
      <c r="A1112" t="inlineStr">
        <is>
          <t>kulsrestha.j</t>
        </is>
      </c>
      <c r="B1112" t="inlineStr">
        <is>
          <t>Kulsrestha Joshi</t>
        </is>
      </c>
      <c r="C1112" t="inlineStr">
        <is>
          <t>kulsrestha.j@osmosys.co</t>
        </is>
      </c>
      <c r="D1112" t="inlineStr">
        <is>
          <t>incident-reporter</t>
        </is>
      </c>
      <c r="E1112">
        <f>HYPERLINK("http://gitlab.osmosys.co/incident-reporter/incident-reporter-app", "OQSHA Mobile App")</f>
        <v/>
      </c>
      <c r="F1112">
        <f>HYPERLINK("http://gitlab.osmosys.co/incident-reporter/incident-reporter-app/-/merge_requests/1815", "fix: fix  attachment preview for task")</f>
        <v/>
      </c>
      <c r="G1112" t="inlineStr">
        <is>
          <t>fix/task-attachment-preview</t>
        </is>
      </c>
      <c r="H1112" t="inlineStr">
        <is>
          <t>sprint-18</t>
        </is>
      </c>
      <c r="I1112" t="inlineStr">
        <is>
          <t>merged</t>
        </is>
      </c>
      <c r="J1112" t="inlineStr">
        <is>
          <t>d56fa563555faf65d98cf521e8b81bd36a710423</t>
        </is>
      </c>
      <c r="K1112">
        <f>HYPERLINK("http://gitlab.osmosys.co/incident-reporter/incident-reporter-app/-/merge_requests/1815#note_241214", "This is not a bug , already asked with Sayan as he implemented this , in other modules where we have this , we allow to upload multiple photos from the gallery that's why we have that buttons in the camera and here in task and other modules we don't have that feature")</f>
        <v/>
      </c>
      <c r="L1112" t="inlineStr">
        <is>
          <t>2025-07-24 10:23:27.929 IST</t>
        </is>
      </c>
      <c r="M1112" t="inlineStr">
        <is>
          <t>Kulsrestha Joshi</t>
        </is>
      </c>
      <c r="N1112" t="inlineStr">
        <is>
          <t>No</t>
        </is>
      </c>
      <c r="O1112" t="inlineStr">
        <is>
          <t>Yes</t>
        </is>
      </c>
      <c r="P1112" t="inlineStr">
        <is>
          <t>Soundariya B</t>
        </is>
      </c>
      <c r="Q1112" t="inlineStr">
        <is>
          <t>Neutral</t>
        </is>
      </c>
    </row>
    <row r="1113">
      <c r="A1113" t="inlineStr">
        <is>
          <t>kulsrestha.j</t>
        </is>
      </c>
      <c r="B1113" t="inlineStr">
        <is>
          <t>Kulsrestha Joshi</t>
        </is>
      </c>
      <c r="C1113" t="inlineStr">
        <is>
          <t>kulsrestha.j@osmosys.co</t>
        </is>
      </c>
      <c r="D1113" t="inlineStr">
        <is>
          <t>incident-reporter</t>
        </is>
      </c>
      <c r="E1113">
        <f>HYPERLINK("http://gitlab.osmosys.co/incident-reporter/incident-reporter-app", "OQSHA Mobile App")</f>
        <v/>
      </c>
      <c r="F1113">
        <f>HYPERLINK("http://gitlab.osmosys.co/incident-reporter/incident-reporter-app/-/merge_requests/1815", "fix: fix  attachment preview for task")</f>
        <v/>
      </c>
      <c r="G1113" t="inlineStr">
        <is>
          <t>fix/task-attachment-preview</t>
        </is>
      </c>
      <c r="H1113" t="inlineStr">
        <is>
          <t>sprint-18</t>
        </is>
      </c>
      <c r="I1113" t="inlineStr">
        <is>
          <t>merged</t>
        </is>
      </c>
      <c r="J1113" t="inlineStr">
        <is>
          <t>dd87a7b78b7b875d8533bb24acd291aa7cef008c</t>
        </is>
      </c>
      <c r="K1113">
        <f>HYPERLINK("http://gitlab.osmosys.co/incident-reporter/incident-reporter-app/-/merge_requests/1815#note_241105", "![image](/uploads/400d8e3fed313ce82c3c5a3c43a5520c/image.png)")</f>
        <v/>
      </c>
      <c r="L1113" t="inlineStr">
        <is>
          <t>2025-07-23 20:22:53.713 IST</t>
        </is>
      </c>
      <c r="M1113" t="inlineStr">
        <is>
          <t>Soundariya B</t>
        </is>
      </c>
      <c r="N1113" t="inlineStr">
        <is>
          <t>Yes</t>
        </is>
      </c>
      <c r="O1113" t="inlineStr">
        <is>
          <t>Yes</t>
        </is>
      </c>
      <c r="P1113" t="inlineStr">
        <is>
          <t>Soundariya B</t>
        </is>
      </c>
      <c r="Q1113" t="inlineStr">
        <is>
          <t>Bad</t>
        </is>
      </c>
    </row>
    <row r="1114">
      <c r="A1114" t="inlineStr">
        <is>
          <t>kulsrestha.j</t>
        </is>
      </c>
      <c r="B1114" t="inlineStr">
        <is>
          <t>Kulsrestha Joshi</t>
        </is>
      </c>
      <c r="C1114" t="inlineStr">
        <is>
          <t>kulsrestha.j@osmosys.co</t>
        </is>
      </c>
      <c r="D1114" t="inlineStr">
        <is>
          <t>incident-reporter</t>
        </is>
      </c>
      <c r="E1114">
        <f>HYPERLINK("http://gitlab.osmosys.co/incident-reporter/incident-reporter-app", "OQSHA Mobile App")</f>
        <v/>
      </c>
      <c r="F1114">
        <f>HYPERLINK("http://gitlab.osmosys.co/incident-reporter/incident-reporter-app/-/merge_requests/1815", "fix: fix  attachment preview for task")</f>
        <v/>
      </c>
      <c r="G1114" t="inlineStr">
        <is>
          <t>fix/task-attachment-preview</t>
        </is>
      </c>
      <c r="H1114" t="inlineStr">
        <is>
          <t>sprint-18</t>
        </is>
      </c>
      <c r="I1114" t="inlineStr">
        <is>
          <t>merged</t>
        </is>
      </c>
      <c r="J1114" t="inlineStr">
        <is>
          <t>dd87a7b78b7b875d8533bb24acd291aa7cef008c</t>
        </is>
      </c>
      <c r="K1114">
        <f>HYPERLINK("http://gitlab.osmosys.co/incident-reporter/incident-reporter-app/-/merge_requests/1815#note_241212", "Given a margin for the image count text . The cross button is as  we have in other modules in the app")</f>
        <v/>
      </c>
      <c r="L1114" t="inlineStr">
        <is>
          <t>2025-07-24 10:19:58.812 IST</t>
        </is>
      </c>
      <c r="M1114" t="inlineStr">
        <is>
          <t>Kulsrestha Joshi</t>
        </is>
      </c>
      <c r="N1114" t="inlineStr">
        <is>
          <t>No</t>
        </is>
      </c>
      <c r="O1114" t="inlineStr">
        <is>
          <t>Yes</t>
        </is>
      </c>
      <c r="P1114" t="inlineStr">
        <is>
          <t>Soundariya B</t>
        </is>
      </c>
      <c r="Q1114" t="inlineStr">
        <is>
          <t>Bad</t>
        </is>
      </c>
    </row>
    <row r="1115">
      <c r="A1115" t="inlineStr">
        <is>
          <t>kulsrestha.j</t>
        </is>
      </c>
      <c r="B1115" t="inlineStr">
        <is>
          <t>Kulsrestha Joshi</t>
        </is>
      </c>
      <c r="C1115" t="inlineStr">
        <is>
          <t>kulsrestha.j@osmosys.co</t>
        </is>
      </c>
      <c r="D1115" t="inlineStr">
        <is>
          <t>incident-reporter</t>
        </is>
      </c>
      <c r="E1115">
        <f>HYPERLINK("http://gitlab.osmosys.co/incident-reporter/incident-reporter-app", "OQSHA Mobile App")</f>
        <v/>
      </c>
      <c r="F1115">
        <f>HYPERLINK("http://gitlab.osmosys.co/incident-reporter/incident-reporter-app/-/merge_requests/1815", "fix: fix  attachment preview for task")</f>
        <v/>
      </c>
      <c r="G1115" t="inlineStr">
        <is>
          <t>fix/task-attachment-preview</t>
        </is>
      </c>
      <c r="H1115" t="inlineStr">
        <is>
          <t>sprint-18</t>
        </is>
      </c>
      <c r="I1115" t="inlineStr">
        <is>
          <t>merged</t>
        </is>
      </c>
      <c r="J1115" t="inlineStr">
        <is>
          <t>dd87a7b78b7b875d8533bb24acd291aa7cef008c</t>
        </is>
      </c>
      <c r="K1115">
        <f>HYPERLINK("http://gitlab.osmosys.co/incident-reporter/incident-reporter-app/-/merge_requests/1815#note_241300", "I was saying for edit icon missing not the cross or remove icon so please check and fix it")</f>
        <v/>
      </c>
      <c r="L1115" t="inlineStr">
        <is>
          <t>2025-07-24 13:13:10.985 IST</t>
        </is>
      </c>
      <c r="M1115" t="inlineStr">
        <is>
          <t>Soundariya B</t>
        </is>
      </c>
      <c r="N1115" t="inlineStr">
        <is>
          <t>Yes</t>
        </is>
      </c>
      <c r="O1115" t="inlineStr">
        <is>
          <t>Yes</t>
        </is>
      </c>
      <c r="P1115" t="inlineStr">
        <is>
          <t>Soundariya B</t>
        </is>
      </c>
      <c r="Q1115" t="inlineStr">
        <is>
          <t>Bad</t>
        </is>
      </c>
    </row>
    <row r="1116">
      <c r="A1116" t="inlineStr">
        <is>
          <t>kulsrestha.j</t>
        </is>
      </c>
      <c r="B1116" t="inlineStr">
        <is>
          <t>Kulsrestha Joshi</t>
        </is>
      </c>
      <c r="C1116" t="inlineStr">
        <is>
          <t>kulsrestha.j@osmosys.co</t>
        </is>
      </c>
      <c r="D1116" t="inlineStr">
        <is>
          <t>incident-reporter</t>
        </is>
      </c>
      <c r="E1116">
        <f>HYPERLINK("http://gitlab.osmosys.co/incident-reporter/incident-reporter-app", "OQSHA Mobile App")</f>
        <v/>
      </c>
      <c r="F1116">
        <f>HYPERLINK("http://gitlab.osmosys.co/incident-reporter/incident-reporter-app/-/merge_requests/1815", "fix: fix  attachment preview for task")</f>
        <v/>
      </c>
      <c r="G1116" t="inlineStr">
        <is>
          <t>fix/task-attachment-preview</t>
        </is>
      </c>
      <c r="H1116" t="inlineStr">
        <is>
          <t>sprint-18</t>
        </is>
      </c>
      <c r="I1116" t="inlineStr">
        <is>
          <t>merged</t>
        </is>
      </c>
      <c r="J1116" t="inlineStr">
        <is>
          <t>37ad99198cabc4cf6e88ffc1e97993e0a29230ff</t>
        </is>
      </c>
      <c r="K1116">
        <f>HYPERLINK("http://gitlab.osmosys.co/incident-reporter/incident-reporter-app/-/merge_requests/1815#note_241293", "Wrong prefix using here it should be lbl-file-name")</f>
        <v/>
      </c>
      <c r="L1116" t="inlineStr">
        <is>
          <t>2025-07-24 13:12:33.208 IST</t>
        </is>
      </c>
      <c r="M1116" t="inlineStr">
        <is>
          <t>Soundariya B</t>
        </is>
      </c>
      <c r="N1116" t="inlineStr">
        <is>
          <t>Yes</t>
        </is>
      </c>
      <c r="O1116" t="inlineStr">
        <is>
          <t>Yes</t>
        </is>
      </c>
      <c r="P1116" t="inlineStr">
        <is>
          <t>Soundariya B</t>
        </is>
      </c>
      <c r="Q1116" t="inlineStr">
        <is>
          <t>Bad</t>
        </is>
      </c>
    </row>
    <row r="1117">
      <c r="A1117" t="inlineStr">
        <is>
          <t>kulsrestha.j</t>
        </is>
      </c>
      <c r="B1117" t="inlineStr">
        <is>
          <t>Kulsrestha Joshi</t>
        </is>
      </c>
      <c r="C1117" t="inlineStr">
        <is>
          <t>kulsrestha.j@osmosys.co</t>
        </is>
      </c>
      <c r="D1117" t="inlineStr">
        <is>
          <t>incident-reporter</t>
        </is>
      </c>
      <c r="E1117">
        <f>HYPERLINK("http://gitlab.osmosys.co/incident-reporter/incident-reporter-app", "OQSHA Mobile App")</f>
        <v/>
      </c>
      <c r="F1117">
        <f>HYPERLINK("http://gitlab.osmosys.co/incident-reporter/incident-reporter-app/-/merge_requests/1815", "fix: fix  attachment preview for task")</f>
        <v/>
      </c>
      <c r="G1117" t="inlineStr">
        <is>
          <t>fix/task-attachment-preview</t>
        </is>
      </c>
      <c r="H1117" t="inlineStr">
        <is>
          <t>sprint-18</t>
        </is>
      </c>
      <c r="I1117" t="inlineStr">
        <is>
          <t>merged</t>
        </is>
      </c>
      <c r="J1117" t="inlineStr">
        <is>
          <t>37ad99198cabc4cf6e88ffc1e97993e0a29230ff</t>
        </is>
      </c>
      <c r="K1117">
        <f>HYPERLINK("http://gitlab.osmosys.co/incident-reporter/incident-reporter-app/-/merge_requests/1815#note_241336", "Updated")</f>
        <v/>
      </c>
      <c r="L1117" t="inlineStr">
        <is>
          <t>2025-07-24 14:22:04.368 IST</t>
        </is>
      </c>
      <c r="M1117" t="inlineStr">
        <is>
          <t>Kulsrestha Joshi</t>
        </is>
      </c>
      <c r="N1117" t="inlineStr">
        <is>
          <t>No</t>
        </is>
      </c>
      <c r="O1117" t="inlineStr">
        <is>
          <t>Yes</t>
        </is>
      </c>
      <c r="P1117" t="inlineStr">
        <is>
          <t>Soundariya B</t>
        </is>
      </c>
      <c r="Q1117" t="inlineStr">
        <is>
          <t>Bad</t>
        </is>
      </c>
    </row>
    <row r="1118">
      <c r="A1118" t="inlineStr">
        <is>
          <t>kulsrestha.j</t>
        </is>
      </c>
      <c r="B1118" t="inlineStr">
        <is>
          <t>Kulsrestha Joshi</t>
        </is>
      </c>
      <c r="C1118" t="inlineStr">
        <is>
          <t>kulsrestha.j@osmosys.co</t>
        </is>
      </c>
      <c r="D1118" t="inlineStr">
        <is>
          <t>incident-reporter</t>
        </is>
      </c>
      <c r="E1118">
        <f>HYPERLINK("http://gitlab.osmosys.co/incident-reporter/incident-reporter-app", "OQSHA Mobile App")</f>
        <v/>
      </c>
      <c r="F1118">
        <f>HYPERLINK("http://gitlab.osmosys.co/incident-reporter/incident-reporter-app/-/merge_requests/1815", "fix: fix  attachment preview for task")</f>
        <v/>
      </c>
      <c r="G1118" t="inlineStr">
        <is>
          <t>fix/task-attachment-preview</t>
        </is>
      </c>
      <c r="H1118" t="inlineStr">
        <is>
          <t>sprint-18</t>
        </is>
      </c>
      <c r="I1118" t="inlineStr">
        <is>
          <t>merged</t>
        </is>
      </c>
      <c r="J1118" t="inlineStr">
        <is>
          <t>6ce62687fc2000e242802073985f63ca979d74e2</t>
        </is>
      </c>
      <c r="K1118">
        <f>HYPERLINK("http://gitlab.osmosys.co/incident-reporter/incident-reporter-app/-/merge_requests/1815#note_241294", "Alt value is not make sense and not meaningful.")</f>
        <v/>
      </c>
      <c r="L1118" t="inlineStr">
        <is>
          <t>2025-07-24 13:12:33.275 IST</t>
        </is>
      </c>
      <c r="M1118" t="inlineStr">
        <is>
          <t>Soundariya B</t>
        </is>
      </c>
      <c r="N1118" t="inlineStr">
        <is>
          <t>Yes</t>
        </is>
      </c>
      <c r="O1118" t="inlineStr">
        <is>
          <t>Yes</t>
        </is>
      </c>
      <c r="P1118" t="inlineStr">
        <is>
          <t>Soundariya B</t>
        </is>
      </c>
      <c r="Q1118" t="inlineStr">
        <is>
          <t>Bad</t>
        </is>
      </c>
    </row>
    <row r="1119">
      <c r="A1119" t="inlineStr">
        <is>
          <t>kulsrestha.j</t>
        </is>
      </c>
      <c r="B1119" t="inlineStr">
        <is>
          <t>Kulsrestha Joshi</t>
        </is>
      </c>
      <c r="C1119" t="inlineStr">
        <is>
          <t>kulsrestha.j@osmosys.co</t>
        </is>
      </c>
      <c r="D1119" t="inlineStr">
        <is>
          <t>incident-reporter</t>
        </is>
      </c>
      <c r="E1119">
        <f>HYPERLINK("http://gitlab.osmosys.co/incident-reporter/incident-reporter-app", "OQSHA Mobile App")</f>
        <v/>
      </c>
      <c r="F1119">
        <f>HYPERLINK("http://gitlab.osmosys.co/incident-reporter/incident-reporter-app/-/merge_requests/1815", "fix: fix  attachment preview for task")</f>
        <v/>
      </c>
      <c r="G1119" t="inlineStr">
        <is>
          <t>fix/task-attachment-preview</t>
        </is>
      </c>
      <c r="H1119" t="inlineStr">
        <is>
          <t>sprint-18</t>
        </is>
      </c>
      <c r="I1119" t="inlineStr">
        <is>
          <t>merged</t>
        </is>
      </c>
      <c r="J1119" t="inlineStr">
        <is>
          <t>6ce62687fc2000e242802073985f63ca979d74e2</t>
        </is>
      </c>
      <c r="K1119">
        <f>HYPERLINK("http://gitlab.osmosys.co/incident-reporter/incident-reporter-app/-/merge_requests/1815#note_241337", "Removed")</f>
        <v/>
      </c>
      <c r="L1119" t="inlineStr">
        <is>
          <t>2025-07-24 14:22:10.959 IST</t>
        </is>
      </c>
      <c r="M1119" t="inlineStr">
        <is>
          <t>Kulsrestha Joshi</t>
        </is>
      </c>
      <c r="N1119" t="inlineStr">
        <is>
          <t>No</t>
        </is>
      </c>
      <c r="O1119" t="inlineStr">
        <is>
          <t>Yes</t>
        </is>
      </c>
      <c r="P1119" t="inlineStr">
        <is>
          <t>Soundariya B</t>
        </is>
      </c>
      <c r="Q1119" t="inlineStr">
        <is>
          <t>Bad</t>
        </is>
      </c>
    </row>
    <row r="1120">
      <c r="A1120" t="inlineStr">
        <is>
          <t>kulsrestha.j</t>
        </is>
      </c>
      <c r="B1120" t="inlineStr">
        <is>
          <t>Kulsrestha Joshi</t>
        </is>
      </c>
      <c r="C1120" t="inlineStr">
        <is>
          <t>kulsrestha.j@osmosys.co</t>
        </is>
      </c>
      <c r="D1120" t="inlineStr">
        <is>
          <t>incident-reporter</t>
        </is>
      </c>
      <c r="E1120">
        <f>HYPERLINK("http://gitlab.osmosys.co/incident-reporter/incident-reporter-app", "OQSHA Mobile App")</f>
        <v/>
      </c>
      <c r="F1120">
        <f>HYPERLINK("http://gitlab.osmosys.co/incident-reporter/incident-reporter-app/-/merge_requests/1815", "fix: fix  attachment preview for task")</f>
        <v/>
      </c>
      <c r="G1120" t="inlineStr">
        <is>
          <t>fix/task-attachment-preview</t>
        </is>
      </c>
      <c r="H1120" t="inlineStr">
        <is>
          <t>sprint-18</t>
        </is>
      </c>
      <c r="I1120" t="inlineStr">
        <is>
          <t>merged</t>
        </is>
      </c>
      <c r="J1120" t="inlineStr">
        <is>
          <t>6ce62687fc2000e242802073985f63ca979d74e2</t>
        </is>
      </c>
      <c r="K1120">
        <f>HYPERLINK("http://gitlab.osmosys.co/incident-reporter/incident-reporter-app/-/merge_requests/1815#note_241353", "For every image alt is needed because if somehow is broken, then this alt value gives an idea of the image to the end user instead of only the broken image")</f>
        <v/>
      </c>
      <c r="L1120" t="inlineStr">
        <is>
          <t>2025-07-24 14:43:17.406 IST</t>
        </is>
      </c>
      <c r="M1120" t="inlineStr">
        <is>
          <t>Soundariya B</t>
        </is>
      </c>
      <c r="N1120" t="inlineStr">
        <is>
          <t>Yes</t>
        </is>
      </c>
      <c r="O1120" t="inlineStr">
        <is>
          <t>Yes</t>
        </is>
      </c>
      <c r="P1120" t="inlineStr">
        <is>
          <t>Soundariya B</t>
        </is>
      </c>
      <c r="Q1120" t="inlineStr">
        <is>
          <t>Bad</t>
        </is>
      </c>
    </row>
    <row r="1121">
      <c r="A1121" t="inlineStr">
        <is>
          <t>kulsrestha.j</t>
        </is>
      </c>
      <c r="B1121" t="inlineStr">
        <is>
          <t>Kulsrestha Joshi</t>
        </is>
      </c>
      <c r="C1121" t="inlineStr">
        <is>
          <t>kulsrestha.j@osmosys.co</t>
        </is>
      </c>
      <c r="D1121" t="inlineStr">
        <is>
          <t>incident-reporter</t>
        </is>
      </c>
      <c r="E1121">
        <f>HYPERLINK("http://gitlab.osmosys.co/incident-reporter/incident-reporter-app", "OQSHA Mobile App")</f>
        <v/>
      </c>
      <c r="F1121">
        <f>HYPERLINK("http://gitlab.osmosys.co/incident-reporter/incident-reporter-app/-/merge_requests/1815", "fix: fix  attachment preview for task")</f>
        <v/>
      </c>
      <c r="G1121" t="inlineStr">
        <is>
          <t>fix/task-attachment-preview</t>
        </is>
      </c>
      <c r="H1121" t="inlineStr">
        <is>
          <t>sprint-18</t>
        </is>
      </c>
      <c r="I1121" t="inlineStr">
        <is>
          <t>merged</t>
        </is>
      </c>
      <c r="J1121" t="inlineStr">
        <is>
          <t>6ce62687fc2000e242802073985f63ca979d74e2</t>
        </is>
      </c>
      <c r="K1121">
        <f>HYPERLINK("http://gitlab.osmosys.co/incident-reporter/incident-reporter-app/-/merge_requests/1815#note_241356", "Updated to show the name of the file")</f>
        <v/>
      </c>
      <c r="L1121" t="inlineStr">
        <is>
          <t>2025-07-24 15:01:38.062 IST</t>
        </is>
      </c>
      <c r="M1121" t="inlineStr">
        <is>
          <t>Kulsrestha Joshi</t>
        </is>
      </c>
      <c r="N1121" t="inlineStr">
        <is>
          <t>No</t>
        </is>
      </c>
      <c r="O1121" t="inlineStr">
        <is>
          <t>Yes</t>
        </is>
      </c>
      <c r="P1121" t="inlineStr">
        <is>
          <t>Soundariya B</t>
        </is>
      </c>
      <c r="Q1121" t="inlineStr">
        <is>
          <t>Bad</t>
        </is>
      </c>
    </row>
    <row r="1122">
      <c r="A1122" t="inlineStr">
        <is>
          <t>kulsrestha.j</t>
        </is>
      </c>
      <c r="B1122" t="inlineStr">
        <is>
          <t>Kulsrestha Joshi</t>
        </is>
      </c>
      <c r="C1122" t="inlineStr">
        <is>
          <t>kulsrestha.j@osmosys.co</t>
        </is>
      </c>
      <c r="D1122" t="inlineStr">
        <is>
          <t>incident-reporter</t>
        </is>
      </c>
      <c r="E1122">
        <f>HYPERLINK("http://gitlab.osmosys.co/incident-reporter/incident-reporter-app", "OQSHA Mobile App")</f>
        <v/>
      </c>
      <c r="F1122">
        <f>HYPERLINK("http://gitlab.osmosys.co/incident-reporter/incident-reporter-app/-/merge_requests/1815", "fix: fix  attachment preview for task")</f>
        <v/>
      </c>
      <c r="G1122" t="inlineStr">
        <is>
          <t>fix/task-attachment-preview</t>
        </is>
      </c>
      <c r="H1122" t="inlineStr">
        <is>
          <t>sprint-18</t>
        </is>
      </c>
      <c r="I1122" t="inlineStr">
        <is>
          <t>merged</t>
        </is>
      </c>
      <c r="J1122" t="inlineStr">
        <is>
          <t>158e5683d1d5344e0c220da1066552fc0280bb5b</t>
        </is>
      </c>
      <c r="K1122">
        <f>HYPERLINK("http://gitlab.osmosys.co/incident-reporter/incident-reporter-app/-/merge_requests/1815#note_241295", "Wrong prefix using here it should be lbl-file-name and you can same classname as CSS are same so need of duplicate CSS with different class names")</f>
        <v/>
      </c>
      <c r="L1122" t="inlineStr">
        <is>
          <t>2025-07-24 13:12:33.330 IST</t>
        </is>
      </c>
      <c r="M1122" t="inlineStr">
        <is>
          <t>Soundariya B</t>
        </is>
      </c>
      <c r="N1122" t="inlineStr">
        <is>
          <t>Yes</t>
        </is>
      </c>
      <c r="O1122" t="inlineStr">
        <is>
          <t>Yes</t>
        </is>
      </c>
      <c r="P1122" t="inlineStr">
        <is>
          <t>Soundariya B</t>
        </is>
      </c>
      <c r="Q1122" t="inlineStr">
        <is>
          <t>Bad</t>
        </is>
      </c>
    </row>
    <row r="1123">
      <c r="A1123" t="inlineStr">
        <is>
          <t>kulsrestha.j</t>
        </is>
      </c>
      <c r="B1123" t="inlineStr">
        <is>
          <t>Kulsrestha Joshi</t>
        </is>
      </c>
      <c r="C1123" t="inlineStr">
        <is>
          <t>kulsrestha.j@osmosys.co</t>
        </is>
      </c>
      <c r="D1123" t="inlineStr">
        <is>
          <t>incident-reporter</t>
        </is>
      </c>
      <c r="E1123">
        <f>HYPERLINK("http://gitlab.osmosys.co/incident-reporter/incident-reporter-app", "OQSHA Mobile App")</f>
        <v/>
      </c>
      <c r="F1123">
        <f>HYPERLINK("http://gitlab.osmosys.co/incident-reporter/incident-reporter-app/-/merge_requests/1815", "fix: fix  attachment preview for task")</f>
        <v/>
      </c>
      <c r="G1123" t="inlineStr">
        <is>
          <t>fix/task-attachment-preview</t>
        </is>
      </c>
      <c r="H1123" t="inlineStr">
        <is>
          <t>sprint-18</t>
        </is>
      </c>
      <c r="I1123" t="inlineStr">
        <is>
          <t>merged</t>
        </is>
      </c>
      <c r="J1123" t="inlineStr">
        <is>
          <t>158e5683d1d5344e0c220da1066552fc0280bb5b</t>
        </is>
      </c>
      <c r="K1123">
        <f>HYPERLINK("http://gitlab.osmosys.co/incident-reporter/incident-reporter-app/-/merge_requests/1815#note_241338", "Updated")</f>
        <v/>
      </c>
      <c r="L1123" t="inlineStr">
        <is>
          <t>2025-07-24 14:23:53.400 IST</t>
        </is>
      </c>
      <c r="M1123" t="inlineStr">
        <is>
          <t>Kulsrestha Joshi</t>
        </is>
      </c>
      <c r="N1123" t="inlineStr">
        <is>
          <t>No</t>
        </is>
      </c>
      <c r="O1123" t="inlineStr">
        <is>
          <t>Yes</t>
        </is>
      </c>
      <c r="P1123" t="inlineStr">
        <is>
          <t>Soundariya B</t>
        </is>
      </c>
      <c r="Q1123" t="inlineStr">
        <is>
          <t>Bad</t>
        </is>
      </c>
    </row>
    <row r="1124">
      <c r="A1124" t="inlineStr">
        <is>
          <t>kulsrestha.j</t>
        </is>
      </c>
      <c r="B1124" t="inlineStr">
        <is>
          <t>Kulsrestha Joshi</t>
        </is>
      </c>
      <c r="C1124" t="inlineStr">
        <is>
          <t>kulsrestha.j@osmosys.co</t>
        </is>
      </c>
      <c r="D1124" t="inlineStr">
        <is>
          <t>incident-reporter</t>
        </is>
      </c>
      <c r="E1124">
        <f>HYPERLINK("http://gitlab.osmosys.co/incident-reporter/incident-reporter-app", "OQSHA Mobile App")</f>
        <v/>
      </c>
      <c r="F1124">
        <f>HYPERLINK("http://gitlab.osmosys.co/incident-reporter/incident-reporter-app/-/merge_requests/1815", "fix: fix  attachment preview for task")</f>
        <v/>
      </c>
      <c r="G1124" t="inlineStr">
        <is>
          <t>fix/task-attachment-preview</t>
        </is>
      </c>
      <c r="H1124" t="inlineStr">
        <is>
          <t>sprint-18</t>
        </is>
      </c>
      <c r="I1124" t="inlineStr">
        <is>
          <t>merged</t>
        </is>
      </c>
      <c r="J1124" t="inlineStr">
        <is>
          <t>6d79753c99d0bf0c843efbe40c0e23554801a8ea</t>
        </is>
      </c>
      <c r="K1124">
        <f>HYPERLINK("http://gitlab.osmosys.co/incident-reporter/incident-reporter-app/-/merge_requests/1815#note_241296", "Here these CSS are common so please reuse it and fix it
```
  width: 30px;
  position: absolute;
  top: -5px;
  font-size: var(--ion-font-medium-lg-size);
```
Different CSS can use with classname like right:10 &amp; right:0")</f>
        <v/>
      </c>
      <c r="L1124" t="inlineStr">
        <is>
          <t>2025-07-24 13:12:33.404 IST</t>
        </is>
      </c>
      <c r="M1124" t="inlineStr">
        <is>
          <t>Soundariya B</t>
        </is>
      </c>
      <c r="N1124" t="inlineStr">
        <is>
          <t>Yes</t>
        </is>
      </c>
      <c r="O1124" t="inlineStr">
        <is>
          <t>Yes</t>
        </is>
      </c>
      <c r="P1124" t="inlineStr">
        <is>
          <t>Soundariya B</t>
        </is>
      </c>
      <c r="Q1124" t="inlineStr">
        <is>
          <t>Bad</t>
        </is>
      </c>
    </row>
    <row r="1125">
      <c r="A1125" t="inlineStr">
        <is>
          <t>kulsrestha.j</t>
        </is>
      </c>
      <c r="B1125" t="inlineStr">
        <is>
          <t>Kulsrestha Joshi</t>
        </is>
      </c>
      <c r="C1125" t="inlineStr">
        <is>
          <t>kulsrestha.j@osmosys.co</t>
        </is>
      </c>
      <c r="D1125" t="inlineStr">
        <is>
          <t>incident-reporter</t>
        </is>
      </c>
      <c r="E1125">
        <f>HYPERLINK("http://gitlab.osmosys.co/incident-reporter/incident-reporter-app", "OQSHA Mobile App")</f>
        <v/>
      </c>
      <c r="F1125">
        <f>HYPERLINK("http://gitlab.osmosys.co/incident-reporter/incident-reporter-app/-/merge_requests/1815", "fix: fix  attachment preview for task")</f>
        <v/>
      </c>
      <c r="G1125" t="inlineStr">
        <is>
          <t>fix/task-attachment-preview</t>
        </is>
      </c>
      <c r="H1125" t="inlineStr">
        <is>
          <t>sprint-18</t>
        </is>
      </c>
      <c r="I1125" t="inlineStr">
        <is>
          <t>merged</t>
        </is>
      </c>
      <c r="J1125" t="inlineStr">
        <is>
          <t>6d79753c99d0bf0c843efbe40c0e23554801a8ea</t>
        </is>
      </c>
      <c r="K1125">
        <f>HYPERLINK("http://gitlab.osmosys.co/incident-reporter/incident-reporter-app/-/merge_requests/1815#note_241344", "Made a common class multimedia-remove-icon and for right of image and video used in it")</f>
        <v/>
      </c>
      <c r="L1125" t="inlineStr">
        <is>
          <t>2025-07-24 14:34:38.380 IST</t>
        </is>
      </c>
      <c r="M1125" t="inlineStr">
        <is>
          <t>Kulsrestha Joshi</t>
        </is>
      </c>
      <c r="N1125" t="inlineStr">
        <is>
          <t>No</t>
        </is>
      </c>
      <c r="O1125" t="inlineStr">
        <is>
          <t>Yes</t>
        </is>
      </c>
      <c r="P1125" t="inlineStr">
        <is>
          <t>Soundariya B</t>
        </is>
      </c>
      <c r="Q1125" t="inlineStr">
        <is>
          <t>Bad</t>
        </is>
      </c>
    </row>
    <row r="1126">
      <c r="A1126" t="inlineStr">
        <is>
          <t>kulsrestha.j</t>
        </is>
      </c>
      <c r="B1126" t="inlineStr">
        <is>
          <t>Kulsrestha Joshi</t>
        </is>
      </c>
      <c r="C1126" t="inlineStr">
        <is>
          <t>kulsrestha.j@osmosys.co</t>
        </is>
      </c>
      <c r="D1126" t="inlineStr">
        <is>
          <t>incident-reporter</t>
        </is>
      </c>
      <c r="E1126">
        <f>HYPERLINK("http://gitlab.osmosys.co/incident-reporter/incident-reporter-app", "OQSHA Mobile App")</f>
        <v/>
      </c>
      <c r="F1126">
        <f>HYPERLINK("http://gitlab.osmosys.co/incident-reporter/incident-reporter-app/-/merge_requests/1815", "fix: fix  attachment preview for task")</f>
        <v/>
      </c>
      <c r="G1126" t="inlineStr">
        <is>
          <t>fix/task-attachment-preview</t>
        </is>
      </c>
      <c r="H1126" t="inlineStr">
        <is>
          <t>sprint-18</t>
        </is>
      </c>
      <c r="I1126" t="inlineStr">
        <is>
          <t>merged</t>
        </is>
      </c>
      <c r="J1126" t="inlineStr">
        <is>
          <t>b46957d76f7327d8eb51905aa522a59c83ef28e8</t>
        </is>
      </c>
      <c r="K1126">
        <f>HYPERLINK("http://gitlab.osmosys.co/incident-reporter/incident-reporter-app/-/merge_requests/1815#note_241297", "Wrong prefix using here - it should be - img-remove-icon (which will have common CSS) &amp; img-video-remove-icon (for different CSS) &amp; img-video-type")</f>
        <v/>
      </c>
      <c r="L1126" t="inlineStr">
        <is>
          <t>2025-07-24 13:12:33.458 IST</t>
        </is>
      </c>
      <c r="M1126" t="inlineStr">
        <is>
          <t>Soundariya B</t>
        </is>
      </c>
      <c r="N1126" t="inlineStr">
        <is>
          <t>Yes</t>
        </is>
      </c>
      <c r="O1126" t="inlineStr">
        <is>
          <t>Yes</t>
        </is>
      </c>
      <c r="P1126" t="inlineStr">
        <is>
          <t>Soundariya B</t>
        </is>
      </c>
      <c r="Q1126" t="inlineStr">
        <is>
          <t>Bad</t>
        </is>
      </c>
    </row>
    <row r="1127">
      <c r="A1127" t="inlineStr">
        <is>
          <t>kulsrestha.j</t>
        </is>
      </c>
      <c r="B1127" t="inlineStr">
        <is>
          <t>Kulsrestha Joshi</t>
        </is>
      </c>
      <c r="C1127" t="inlineStr">
        <is>
          <t>kulsrestha.j@osmosys.co</t>
        </is>
      </c>
      <c r="D1127" t="inlineStr">
        <is>
          <t>incident-reporter</t>
        </is>
      </c>
      <c r="E1127">
        <f>HYPERLINK("http://gitlab.osmosys.co/incident-reporter/incident-reporter-app", "OQSHA Mobile App")</f>
        <v/>
      </c>
      <c r="F1127">
        <f>HYPERLINK("http://gitlab.osmosys.co/incident-reporter/incident-reporter-app/-/merge_requests/1815", "fix: fix  attachment preview for task")</f>
        <v/>
      </c>
      <c r="G1127" t="inlineStr">
        <is>
          <t>fix/task-attachment-preview</t>
        </is>
      </c>
      <c r="H1127" t="inlineStr">
        <is>
          <t>sprint-18</t>
        </is>
      </c>
      <c r="I1127" t="inlineStr">
        <is>
          <t>merged</t>
        </is>
      </c>
      <c r="J1127" t="inlineStr">
        <is>
          <t>b46957d76f7327d8eb51905aa522a59c83ef28e8</t>
        </is>
      </c>
      <c r="K1127">
        <f>HYPERLINK("http://gitlab.osmosys.co/incident-reporter/incident-reporter-app/-/merge_requests/1815#note_241345", "Made a common class multimedia-remove-icon and for right of image and video used in it")</f>
        <v/>
      </c>
      <c r="L1127" t="inlineStr">
        <is>
          <t>2025-07-24 14:34:41.960 IST</t>
        </is>
      </c>
      <c r="M1127" t="inlineStr">
        <is>
          <t>Kulsrestha Joshi</t>
        </is>
      </c>
      <c r="N1127" t="inlineStr">
        <is>
          <t>No</t>
        </is>
      </c>
      <c r="O1127" t="inlineStr">
        <is>
          <t>Yes</t>
        </is>
      </c>
      <c r="P1127" t="inlineStr">
        <is>
          <t>Soundariya B</t>
        </is>
      </c>
      <c r="Q1127" t="inlineStr">
        <is>
          <t>Bad</t>
        </is>
      </c>
    </row>
    <row r="1128">
      <c r="A1128" t="inlineStr">
        <is>
          <t>kulsrestha.j</t>
        </is>
      </c>
      <c r="B1128" t="inlineStr">
        <is>
          <t>Kulsrestha Joshi</t>
        </is>
      </c>
      <c r="C1128" t="inlineStr">
        <is>
          <t>kulsrestha.j@osmosys.co</t>
        </is>
      </c>
      <c r="D1128" t="inlineStr">
        <is>
          <t>incident-reporter</t>
        </is>
      </c>
      <c r="E1128">
        <f>HYPERLINK("http://gitlab.osmosys.co/incident-reporter/incident-reporter-app", "OQSHA Mobile App")</f>
        <v/>
      </c>
      <c r="F1128">
        <f>HYPERLINK("http://gitlab.osmosys.co/incident-reporter/incident-reporter-app/-/merge_requests/1815", "fix: fix  attachment preview for task")</f>
        <v/>
      </c>
      <c r="G1128" t="inlineStr">
        <is>
          <t>fix/task-attachment-preview</t>
        </is>
      </c>
      <c r="H1128" t="inlineStr">
        <is>
          <t>sprint-18</t>
        </is>
      </c>
      <c r="I1128" t="inlineStr">
        <is>
          <t>merged</t>
        </is>
      </c>
      <c r="J1128" t="inlineStr">
        <is>
          <t>b46957d76f7327d8eb51905aa522a59c83ef28e8</t>
        </is>
      </c>
      <c r="K1128">
        <f>HYPERLINK("http://gitlab.osmosys.co/incident-reporter/incident-reporter-app/-/merge_requests/1815#note_241354", "Prefix is missing again as clearly mentioned")</f>
        <v/>
      </c>
      <c r="L1128" t="inlineStr">
        <is>
          <t>2025-07-24 14:45:49.024 IST</t>
        </is>
      </c>
      <c r="M1128" t="inlineStr">
        <is>
          <t>Soundariya B</t>
        </is>
      </c>
      <c r="N1128" t="inlineStr">
        <is>
          <t>Yes</t>
        </is>
      </c>
      <c r="O1128" t="inlineStr">
        <is>
          <t>Yes</t>
        </is>
      </c>
      <c r="P1128" t="inlineStr">
        <is>
          <t>Soundariya B</t>
        </is>
      </c>
      <c r="Q1128" t="inlineStr">
        <is>
          <t>Bad</t>
        </is>
      </c>
    </row>
    <row r="1129">
      <c r="A1129" t="inlineStr">
        <is>
          <t>kulsrestha.j</t>
        </is>
      </c>
      <c r="B1129" t="inlineStr">
        <is>
          <t>Kulsrestha Joshi</t>
        </is>
      </c>
      <c r="C1129" t="inlineStr">
        <is>
          <t>kulsrestha.j@osmosys.co</t>
        </is>
      </c>
      <c r="D1129" t="inlineStr">
        <is>
          <t>incident-reporter</t>
        </is>
      </c>
      <c r="E1129">
        <f>HYPERLINK("http://gitlab.osmosys.co/incident-reporter/incident-reporter-app", "OQSHA Mobile App")</f>
        <v/>
      </c>
      <c r="F1129">
        <f>HYPERLINK("http://gitlab.osmosys.co/incident-reporter/incident-reporter-app/-/merge_requests/1815", "fix: fix  attachment preview for task")</f>
        <v/>
      </c>
      <c r="G1129" t="inlineStr">
        <is>
          <t>fix/task-attachment-preview</t>
        </is>
      </c>
      <c r="H1129" t="inlineStr">
        <is>
          <t>sprint-18</t>
        </is>
      </c>
      <c r="I1129" t="inlineStr">
        <is>
          <t>merged</t>
        </is>
      </c>
      <c r="J1129" t="inlineStr">
        <is>
          <t>b46957d76f7327d8eb51905aa522a59c83ef28e8</t>
        </is>
      </c>
      <c r="K1129">
        <f>HYPERLINK("http://gitlab.osmosys.co/incident-reporter/incident-reporter-app/-/merge_requests/1815#note_241357", "added img-video-type")</f>
        <v/>
      </c>
      <c r="L1129" t="inlineStr">
        <is>
          <t>2025-07-24 15:02:00.049 IST</t>
        </is>
      </c>
      <c r="M1129" t="inlineStr">
        <is>
          <t>Kulsrestha Joshi</t>
        </is>
      </c>
      <c r="N1129" t="inlineStr">
        <is>
          <t>No</t>
        </is>
      </c>
      <c r="O1129" t="inlineStr">
        <is>
          <t>Yes</t>
        </is>
      </c>
      <c r="P1129" t="inlineStr">
        <is>
          <t>Soundariya B</t>
        </is>
      </c>
      <c r="Q1129" t="inlineStr">
        <is>
          <t>Bad</t>
        </is>
      </c>
    </row>
    <row r="1130">
      <c r="A1130" t="inlineStr">
        <is>
          <t>kulsrestha.j</t>
        </is>
      </c>
      <c r="B1130" t="inlineStr">
        <is>
          <t>Kulsrestha Joshi</t>
        </is>
      </c>
      <c r="C1130" t="inlineStr">
        <is>
          <t>kulsrestha.j@osmosys.co</t>
        </is>
      </c>
      <c r="D1130" t="inlineStr">
        <is>
          <t>incident-reporter</t>
        </is>
      </c>
      <c r="E1130">
        <f>HYPERLINK("http://gitlab.osmosys.co/incident-reporter/incident-reporter-app", "OQSHA Mobile App")</f>
        <v/>
      </c>
      <c r="F1130">
        <f>HYPERLINK("http://gitlab.osmosys.co/incident-reporter/incident-reporter-app/-/merge_requests/1815", "fix: fix  attachment preview for task")</f>
        <v/>
      </c>
      <c r="G1130" t="inlineStr">
        <is>
          <t>fix/task-attachment-preview</t>
        </is>
      </c>
      <c r="H1130" t="inlineStr">
        <is>
          <t>sprint-18</t>
        </is>
      </c>
      <c r="I1130" t="inlineStr">
        <is>
          <t>merged</t>
        </is>
      </c>
      <c r="J1130" t="inlineStr">
        <is>
          <t>0906db05f937dfa8047207249a72f396ba9d05e1</t>
        </is>
      </c>
      <c r="K1130">
        <f>HYPERLINK("http://gitlab.osmosys.co/incident-reporter/incident-reporter-app/-/merge_requests/1815#note_241298", "Both are same please reuse this and fix it.")</f>
        <v/>
      </c>
      <c r="L1130" t="inlineStr">
        <is>
          <t>2025-07-24 13:12:33.511 IST</t>
        </is>
      </c>
      <c r="M1130" t="inlineStr">
        <is>
          <t>Soundariya B</t>
        </is>
      </c>
      <c r="N1130" t="inlineStr">
        <is>
          <t>Yes</t>
        </is>
      </c>
      <c r="O1130" t="inlineStr">
        <is>
          <t>Yes</t>
        </is>
      </c>
      <c r="P1130" t="inlineStr">
        <is>
          <t>Soundariya B</t>
        </is>
      </c>
      <c r="Q1130" t="inlineStr">
        <is>
          <t>Bad</t>
        </is>
      </c>
    </row>
    <row r="1131">
      <c r="A1131" t="inlineStr">
        <is>
          <t>kulsrestha.j</t>
        </is>
      </c>
      <c r="B1131" t="inlineStr">
        <is>
          <t>Kulsrestha Joshi</t>
        </is>
      </c>
      <c r="C1131" t="inlineStr">
        <is>
          <t>kulsrestha.j@osmosys.co</t>
        </is>
      </c>
      <c r="D1131" t="inlineStr">
        <is>
          <t>incident-reporter</t>
        </is>
      </c>
      <c r="E1131">
        <f>HYPERLINK("http://gitlab.osmosys.co/incident-reporter/incident-reporter-app", "OQSHA Mobile App")</f>
        <v/>
      </c>
      <c r="F1131">
        <f>HYPERLINK("http://gitlab.osmosys.co/incident-reporter/incident-reporter-app/-/merge_requests/1815", "fix: fix  attachment preview for task")</f>
        <v/>
      </c>
      <c r="G1131" t="inlineStr">
        <is>
          <t>fix/task-attachment-preview</t>
        </is>
      </c>
      <c r="H1131" t="inlineStr">
        <is>
          <t>sprint-18</t>
        </is>
      </c>
      <c r="I1131" t="inlineStr">
        <is>
          <t>merged</t>
        </is>
      </c>
      <c r="J1131" t="inlineStr">
        <is>
          <t>0906db05f937dfa8047207249a72f396ba9d05e1</t>
        </is>
      </c>
      <c r="K1131">
        <f>HYPERLINK("http://gitlab.osmosys.co/incident-reporter/incident-reporter-app/-/merge_requests/1815#note_241339", "Updated")</f>
        <v/>
      </c>
      <c r="L1131" t="inlineStr">
        <is>
          <t>2025-07-24 14:25:47.485 IST</t>
        </is>
      </c>
      <c r="M1131" t="inlineStr">
        <is>
          <t>Kulsrestha Joshi</t>
        </is>
      </c>
      <c r="N1131" t="inlineStr">
        <is>
          <t>No</t>
        </is>
      </c>
      <c r="O1131" t="inlineStr">
        <is>
          <t>Yes</t>
        </is>
      </c>
      <c r="P1131" t="inlineStr">
        <is>
          <t>Soundariya B</t>
        </is>
      </c>
      <c r="Q1131" t="inlineStr">
        <is>
          <t>Bad</t>
        </is>
      </c>
    </row>
    <row r="1132">
      <c r="A1132" t="inlineStr">
        <is>
          <t>kulsrestha.j</t>
        </is>
      </c>
      <c r="B1132" t="inlineStr">
        <is>
          <t>Kulsrestha Joshi</t>
        </is>
      </c>
      <c r="C1132" t="inlineStr">
        <is>
          <t>kulsrestha.j@osmosys.co</t>
        </is>
      </c>
      <c r="D1132" t="inlineStr">
        <is>
          <t>incident-reporter</t>
        </is>
      </c>
      <c r="E1132">
        <f>HYPERLINK("http://gitlab.osmosys.co/incident-reporter/incident-reporter-app", "OQSHA Mobile App")</f>
        <v/>
      </c>
      <c r="F1132">
        <f>HYPERLINK("http://gitlab.osmosys.co/incident-reporter/incident-reporter-app/-/merge_requests/1807", "fix: show org sites based on enable all sites flag")</f>
        <v/>
      </c>
      <c r="G1132" t="inlineStr">
        <is>
          <t>fix/ticket-enable-all-sites</t>
        </is>
      </c>
      <c r="H1132" t="inlineStr">
        <is>
          <t>sprint-17</t>
        </is>
      </c>
      <c r="I1132" t="inlineStr">
        <is>
          <t>merged</t>
        </is>
      </c>
      <c r="J1132" t="inlineStr"/>
      <c r="K1132" t="inlineStr"/>
      <c r="L1132" t="inlineStr"/>
      <c r="M1132" t="inlineStr"/>
      <c r="N1132" t="inlineStr"/>
      <c r="O1132" t="inlineStr"/>
      <c r="P1132" t="inlineStr"/>
      <c r="Q1132" t="inlineStr"/>
    </row>
    <row r="1133">
      <c r="A1133" t="inlineStr">
        <is>
          <t>kulsrestha.j</t>
        </is>
      </c>
      <c r="B1133" t="inlineStr">
        <is>
          <t>Kulsrestha Joshi</t>
        </is>
      </c>
      <c r="C1133" t="inlineStr">
        <is>
          <t>kulsrestha.j@osmosys.co</t>
        </is>
      </c>
      <c r="D1133" t="inlineStr">
        <is>
          <t>incident-reporter</t>
        </is>
      </c>
      <c r="E1133">
        <f>HYPERLINK("http://gitlab.osmosys.co/incident-reporter/incident-reporter-app", "OQSHA Mobile App")</f>
        <v/>
      </c>
      <c r="F1133">
        <f>HYPERLINK("http://gitlab.osmosys.co/incident-reporter/incident-reporter-app/-/merge_requests/1802", "fix: fix  attachment preview for task")</f>
        <v/>
      </c>
      <c r="G1133" t="inlineStr">
        <is>
          <t>fix/task-attachments</t>
        </is>
      </c>
      <c r="H1133" t="inlineStr">
        <is>
          <t>sprint-18</t>
        </is>
      </c>
      <c r="I1133" t="inlineStr">
        <is>
          <t>closed</t>
        </is>
      </c>
      <c r="J1133" t="inlineStr"/>
      <c r="K1133" t="inlineStr"/>
      <c r="L1133" t="inlineStr"/>
      <c r="M1133" t="inlineStr"/>
      <c r="N1133" t="inlineStr"/>
      <c r="O1133" t="inlineStr"/>
      <c r="P1133" t="inlineStr"/>
      <c r="Q1133" t="inlineStr"/>
    </row>
    <row r="1134">
      <c r="A1134" t="inlineStr">
        <is>
          <t>kulsrestha.j</t>
        </is>
      </c>
      <c r="B1134" t="inlineStr">
        <is>
          <t>Kulsrestha Joshi</t>
        </is>
      </c>
      <c r="C1134" t="inlineStr">
        <is>
          <t>kulsrestha.j@osmosys.co</t>
        </is>
      </c>
      <c r="D1134" t="inlineStr">
        <is>
          <t>incident-reporter</t>
        </is>
      </c>
      <c r="E1134">
        <f>HYPERLINK("http://gitlab.osmosys.co/incident-reporter/incident-reporter-app", "OQSHA Mobile App")</f>
        <v/>
      </c>
      <c r="F1134">
        <f>HYPERLINK("http://gitlab.osmosys.co/incident-reporter/incident-reporter-app/-/merge_requests/1795", "fix: fix assinged to user based on show all tickets flag")</f>
        <v/>
      </c>
      <c r="G1134" t="inlineStr">
        <is>
          <t>fix/assigned-to-feed</t>
        </is>
      </c>
      <c r="H1134" t="inlineStr">
        <is>
          <t>sprint-17</t>
        </is>
      </c>
      <c r="I1134" t="inlineStr">
        <is>
          <t>closed</t>
        </is>
      </c>
      <c r="J1134" t="inlineStr"/>
      <c r="K1134" t="inlineStr"/>
      <c r="L1134" t="inlineStr"/>
      <c r="M1134" t="inlineStr"/>
      <c r="N1134" t="inlineStr"/>
      <c r="O1134" t="inlineStr"/>
      <c r="P1134" t="inlineStr"/>
      <c r="Q1134" t="inlineStr"/>
    </row>
    <row r="1135">
      <c r="A1135" t="inlineStr">
        <is>
          <t>kulsrestha.j</t>
        </is>
      </c>
      <c r="B1135" t="inlineStr">
        <is>
          <t>Kulsrestha Joshi</t>
        </is>
      </c>
      <c r="C1135" t="inlineStr">
        <is>
          <t>kulsrestha.j@osmosys.co</t>
        </is>
      </c>
      <c r="D1135" t="inlineStr">
        <is>
          <t>incident-reporter</t>
        </is>
      </c>
      <c r="E1135">
        <f>HYPERLINK("http://gitlab.osmosys.co/incident-reporter/incident-reporter-app", "OQSHA Mobile App")</f>
        <v/>
      </c>
      <c r="F1135">
        <f>HYPERLINK("http://gitlab.osmosys.co/incident-reporter/incident-reporter-app/-/merge_requests/1779", "fix: enhance department selection logic based on stored filter state")</f>
        <v/>
      </c>
      <c r="G1135" t="inlineStr">
        <is>
          <t>fix/department-payload</t>
        </is>
      </c>
      <c r="H1135" t="inlineStr">
        <is>
          <t>sprint-17</t>
        </is>
      </c>
      <c r="I1135" t="inlineStr">
        <is>
          <t>merged</t>
        </is>
      </c>
      <c r="J1135" t="inlineStr"/>
      <c r="K1135" t="inlineStr"/>
      <c r="L1135" t="inlineStr"/>
      <c r="M1135" t="inlineStr"/>
      <c r="N1135" t="inlineStr"/>
      <c r="O1135" t="inlineStr"/>
      <c r="P1135" t="inlineStr"/>
      <c r="Q1135" t="inlineStr"/>
    </row>
    <row r="1136">
      <c r="A1136" t="inlineStr">
        <is>
          <t>kulsrestha.j</t>
        </is>
      </c>
      <c r="B1136" t="inlineStr">
        <is>
          <t>Kulsrestha Joshi</t>
        </is>
      </c>
      <c r="C1136" t="inlineStr">
        <is>
          <t>kulsrestha.j@osmosys.co</t>
        </is>
      </c>
      <c r="D1136" t="inlineStr">
        <is>
          <t>incident-reporter</t>
        </is>
      </c>
      <c r="E1136">
        <f>HYPERLINK("http://gitlab.osmosys.co/incident-reporter/incident-reporter-app", "OQSHA Mobile App")</f>
        <v/>
      </c>
      <c r="F1136">
        <f>HYPERLINK("http://gitlab.osmosys.co/incident-reporter/incident-reporter-app/-/merge_requests/1759", "feat: add department association in tickets")</f>
        <v/>
      </c>
      <c r="G1136" t="inlineStr">
        <is>
          <t>feat/tickets-department</t>
        </is>
      </c>
      <c r="H1136" t="inlineStr">
        <is>
          <t>sprint-17</t>
        </is>
      </c>
      <c r="I1136" t="inlineStr">
        <is>
          <t>merged</t>
        </is>
      </c>
      <c r="J1136" t="inlineStr">
        <is>
          <t>43e4f36ae4a4801250655cbab0650a5b8f4b8efe</t>
        </is>
      </c>
      <c r="K1136">
        <f>HYPERLINK("http://gitlab.osmosys.co/incident-reporter/incident-reporter-app/-/merge_requests/1759#note_235631", "Not required as its common so we can use from common const object")</f>
        <v/>
      </c>
      <c r="L1136" t="inlineStr">
        <is>
          <t>2025-07-12 02:04:29.325 IST</t>
        </is>
      </c>
      <c r="M1136" t="inlineStr">
        <is>
          <t>Soundariya B</t>
        </is>
      </c>
      <c r="N1136" t="inlineStr">
        <is>
          <t>Yes</t>
        </is>
      </c>
      <c r="O1136" t="inlineStr">
        <is>
          <t>Yes</t>
        </is>
      </c>
      <c r="P1136" t="inlineStr">
        <is>
          <t>Soundariya B</t>
        </is>
      </c>
      <c r="Q1136" t="inlineStr">
        <is>
          <t>Bad</t>
        </is>
      </c>
    </row>
    <row r="1137">
      <c r="A1137" t="inlineStr">
        <is>
          <t>kulsrestha.j</t>
        </is>
      </c>
      <c r="B1137" t="inlineStr">
        <is>
          <t>Kulsrestha Joshi</t>
        </is>
      </c>
      <c r="C1137" t="inlineStr">
        <is>
          <t>kulsrestha.j@osmosys.co</t>
        </is>
      </c>
      <c r="D1137" t="inlineStr">
        <is>
          <t>incident-reporter</t>
        </is>
      </c>
      <c r="E1137">
        <f>HYPERLINK("http://gitlab.osmosys.co/incident-reporter/incident-reporter-app", "OQSHA Mobile App")</f>
        <v/>
      </c>
      <c r="F1137">
        <f>HYPERLINK("http://gitlab.osmosys.co/incident-reporter/incident-reporter-app/-/merge_requests/1759", "feat: add department association in tickets")</f>
        <v/>
      </c>
      <c r="G1137" t="inlineStr">
        <is>
          <t>feat/tickets-department</t>
        </is>
      </c>
      <c r="H1137" t="inlineStr">
        <is>
          <t>sprint-17</t>
        </is>
      </c>
      <c r="I1137" t="inlineStr">
        <is>
          <t>merged</t>
        </is>
      </c>
      <c r="J1137" t="inlineStr">
        <is>
          <t>43e4f36ae4a4801250655cbab0650a5b8f4b8efe</t>
        </is>
      </c>
      <c r="K1137">
        <f>HYPERLINK("http://gitlab.osmosys.co/incident-reporter/incident-reporter-app/-/merge_requests/1759#note_235923", "Removed from audit")</f>
        <v/>
      </c>
      <c r="L1137" t="inlineStr">
        <is>
          <t>2025-07-14 13:02:35.712 IST</t>
        </is>
      </c>
      <c r="M1137" t="inlineStr">
        <is>
          <t>Kulsrestha Joshi</t>
        </is>
      </c>
      <c r="N1137" t="inlineStr">
        <is>
          <t>No</t>
        </is>
      </c>
      <c r="O1137" t="inlineStr">
        <is>
          <t>Yes</t>
        </is>
      </c>
      <c r="P1137" t="inlineStr">
        <is>
          <t>Soundariya B</t>
        </is>
      </c>
      <c r="Q1137" t="inlineStr">
        <is>
          <t>Bad</t>
        </is>
      </c>
    </row>
    <row r="1138">
      <c r="A1138" t="inlineStr">
        <is>
          <t>kulsrestha.j</t>
        </is>
      </c>
      <c r="B1138" t="inlineStr">
        <is>
          <t>Kulsrestha Joshi</t>
        </is>
      </c>
      <c r="C1138" t="inlineStr">
        <is>
          <t>kulsrestha.j@osmosys.co</t>
        </is>
      </c>
      <c r="D1138" t="inlineStr">
        <is>
          <t>incident-reporter</t>
        </is>
      </c>
      <c r="E1138">
        <f>HYPERLINK("http://gitlab.osmosys.co/incident-reporter/incident-reporter-app", "OQSHA Mobile App")</f>
        <v/>
      </c>
      <c r="F1138">
        <f>HYPERLINK("http://gitlab.osmosys.co/incident-reporter/incident-reporter-app/-/merge_requests/1759", "feat: add department association in tickets")</f>
        <v/>
      </c>
      <c r="G1138" t="inlineStr">
        <is>
          <t>feat/tickets-department</t>
        </is>
      </c>
      <c r="H1138" t="inlineStr">
        <is>
          <t>sprint-17</t>
        </is>
      </c>
      <c r="I1138" t="inlineStr">
        <is>
          <t>merged</t>
        </is>
      </c>
      <c r="J1138" t="inlineStr">
        <is>
          <t>23894517a3209acabefba21e1df8d51043ff27af</t>
        </is>
      </c>
      <c r="K1138">
        <f>HYPERLINK("http://gitlab.osmosys.co/incident-reporter/incident-reporter-app/-/merge_requests/1759#note_235632", "logger is missing")</f>
        <v/>
      </c>
      <c r="L1138" t="inlineStr">
        <is>
          <t>2025-07-12 02:04:29.423 IST</t>
        </is>
      </c>
      <c r="M1138" t="inlineStr">
        <is>
          <t>Soundariya B</t>
        </is>
      </c>
      <c r="N1138" t="inlineStr">
        <is>
          <t>Yes</t>
        </is>
      </c>
      <c r="O1138" t="inlineStr">
        <is>
          <t>Yes</t>
        </is>
      </c>
      <c r="P1138" t="inlineStr">
        <is>
          <t>Soundariya B</t>
        </is>
      </c>
      <c r="Q1138" t="inlineStr">
        <is>
          <t>Bad</t>
        </is>
      </c>
    </row>
    <row r="1139">
      <c r="A1139" t="inlineStr">
        <is>
          <t>kulsrestha.j</t>
        </is>
      </c>
      <c r="B1139" t="inlineStr">
        <is>
          <t>Kulsrestha Joshi</t>
        </is>
      </c>
      <c r="C1139" t="inlineStr">
        <is>
          <t>kulsrestha.j@osmosys.co</t>
        </is>
      </c>
      <c r="D1139" t="inlineStr">
        <is>
          <t>incident-reporter</t>
        </is>
      </c>
      <c r="E1139">
        <f>HYPERLINK("http://gitlab.osmosys.co/incident-reporter/incident-reporter-app", "OQSHA Mobile App")</f>
        <v/>
      </c>
      <c r="F1139">
        <f>HYPERLINK("http://gitlab.osmosys.co/incident-reporter/incident-reporter-app/-/merge_requests/1759", "feat: add department association in tickets")</f>
        <v/>
      </c>
      <c r="G1139" t="inlineStr">
        <is>
          <t>feat/tickets-department</t>
        </is>
      </c>
      <c r="H1139" t="inlineStr">
        <is>
          <t>sprint-17</t>
        </is>
      </c>
      <c r="I1139" t="inlineStr">
        <is>
          <t>merged</t>
        </is>
      </c>
      <c r="J1139" t="inlineStr">
        <is>
          <t>23894517a3209acabefba21e1df8d51043ff27af</t>
        </is>
      </c>
      <c r="K1139">
        <f>HYPERLINK("http://gitlab.osmosys.co/incident-reporter/incident-reporter-app/-/merge_requests/1759#note_235889", "Added")</f>
        <v/>
      </c>
      <c r="L1139" t="inlineStr">
        <is>
          <t>2025-07-14 12:43:09.347 IST</t>
        </is>
      </c>
      <c r="M1139" t="inlineStr">
        <is>
          <t>Kulsrestha Joshi</t>
        </is>
      </c>
      <c r="N1139" t="inlineStr">
        <is>
          <t>No</t>
        </is>
      </c>
      <c r="O1139" t="inlineStr">
        <is>
          <t>Yes</t>
        </is>
      </c>
      <c r="P1139" t="inlineStr">
        <is>
          <t>Soundariya B</t>
        </is>
      </c>
      <c r="Q1139" t="inlineStr">
        <is>
          <t>Bad</t>
        </is>
      </c>
    </row>
    <row r="1140">
      <c r="A1140" t="inlineStr">
        <is>
          <t>kulsrestha.j</t>
        </is>
      </c>
      <c r="B1140" t="inlineStr">
        <is>
          <t>Kulsrestha Joshi</t>
        </is>
      </c>
      <c r="C1140" t="inlineStr">
        <is>
          <t>kulsrestha.j@osmosys.co</t>
        </is>
      </c>
      <c r="D1140" t="inlineStr">
        <is>
          <t>incident-reporter</t>
        </is>
      </c>
      <c r="E1140">
        <f>HYPERLINK("http://gitlab.osmosys.co/incident-reporter/incident-reporter-app", "OQSHA Mobile App")</f>
        <v/>
      </c>
      <c r="F1140">
        <f>HYPERLINK("http://gitlab.osmosys.co/incident-reporter/incident-reporter-app/-/merge_requests/1759", "feat: add department association in tickets")</f>
        <v/>
      </c>
      <c r="G1140" t="inlineStr">
        <is>
          <t>feat/tickets-department</t>
        </is>
      </c>
      <c r="H1140" t="inlineStr">
        <is>
          <t>sprint-17</t>
        </is>
      </c>
      <c r="I1140" t="inlineStr">
        <is>
          <t>merged</t>
        </is>
      </c>
      <c r="J1140" t="inlineStr">
        <is>
          <t>59f2ea1f65a69468d75d1d37996ca6ee0e564880</t>
        </is>
      </c>
      <c r="K1140">
        <f>HYPERLINK("http://gitlab.osmosys.co/incident-reporter/incident-reporter-app/-/merge_requests/1759#note_235633", "Declare the data type")</f>
        <v/>
      </c>
      <c r="L1140" t="inlineStr">
        <is>
          <t>2025-07-12 02:04:29.517 IST</t>
        </is>
      </c>
      <c r="M1140" t="inlineStr">
        <is>
          <t>Soundariya B</t>
        </is>
      </c>
      <c r="N1140" t="inlineStr">
        <is>
          <t>Yes</t>
        </is>
      </c>
      <c r="O1140" t="inlineStr">
        <is>
          <t>Yes</t>
        </is>
      </c>
      <c r="P1140" t="inlineStr">
        <is>
          <t>Soundariya B</t>
        </is>
      </c>
      <c r="Q1140" t="inlineStr">
        <is>
          <t>Bad</t>
        </is>
      </c>
    </row>
    <row r="1141">
      <c r="A1141" t="inlineStr">
        <is>
          <t>kulsrestha.j</t>
        </is>
      </c>
      <c r="B1141" t="inlineStr">
        <is>
          <t>Kulsrestha Joshi</t>
        </is>
      </c>
      <c r="C1141" t="inlineStr">
        <is>
          <t>kulsrestha.j@osmosys.co</t>
        </is>
      </c>
      <c r="D1141" t="inlineStr">
        <is>
          <t>incident-reporter</t>
        </is>
      </c>
      <c r="E1141">
        <f>HYPERLINK("http://gitlab.osmosys.co/incident-reporter/incident-reporter-app", "OQSHA Mobile App")</f>
        <v/>
      </c>
      <c r="F1141">
        <f>HYPERLINK("http://gitlab.osmosys.co/incident-reporter/incident-reporter-app/-/merge_requests/1759", "feat: add department association in tickets")</f>
        <v/>
      </c>
      <c r="G1141" t="inlineStr">
        <is>
          <t>feat/tickets-department</t>
        </is>
      </c>
      <c r="H1141" t="inlineStr">
        <is>
          <t>sprint-17</t>
        </is>
      </c>
      <c r="I1141" t="inlineStr">
        <is>
          <t>merged</t>
        </is>
      </c>
      <c r="J1141" t="inlineStr">
        <is>
          <t>59f2ea1f65a69468d75d1d37996ca6ee0e564880</t>
        </is>
      </c>
      <c r="K1141">
        <f>HYPERLINK("http://gitlab.osmosys.co/incident-reporter/incident-reporter-app/-/merge_requests/1759#note_235922", "Updated")</f>
        <v/>
      </c>
      <c r="L1141" t="inlineStr">
        <is>
          <t>2025-07-14 13:00:53.960 IST</t>
        </is>
      </c>
      <c r="M1141" t="inlineStr">
        <is>
          <t>Kulsrestha Joshi</t>
        </is>
      </c>
      <c r="N1141" t="inlineStr">
        <is>
          <t>No</t>
        </is>
      </c>
      <c r="O1141" t="inlineStr">
        <is>
          <t>Yes</t>
        </is>
      </c>
      <c r="P1141" t="inlineStr">
        <is>
          <t>Soundariya B</t>
        </is>
      </c>
      <c r="Q1141" t="inlineStr">
        <is>
          <t>Bad</t>
        </is>
      </c>
    </row>
    <row r="1142">
      <c r="A1142" t="inlineStr">
        <is>
          <t>kulsrestha.j</t>
        </is>
      </c>
      <c r="B1142" t="inlineStr">
        <is>
          <t>Kulsrestha Joshi</t>
        </is>
      </c>
      <c r="C1142" t="inlineStr">
        <is>
          <t>kulsrestha.j@osmosys.co</t>
        </is>
      </c>
      <c r="D1142" t="inlineStr">
        <is>
          <t>incident-reporter</t>
        </is>
      </c>
      <c r="E1142">
        <f>HYPERLINK("http://gitlab.osmosys.co/incident-reporter/incident-reporter-app", "OQSHA Mobile App")</f>
        <v/>
      </c>
      <c r="F1142">
        <f>HYPERLINK("http://gitlab.osmosys.co/incident-reporter/incident-reporter-app/-/merge_requests/1759", "feat: add department association in tickets")</f>
        <v/>
      </c>
      <c r="G1142" t="inlineStr">
        <is>
          <t>feat/tickets-department</t>
        </is>
      </c>
      <c r="H1142" t="inlineStr">
        <is>
          <t>sprint-17</t>
        </is>
      </c>
      <c r="I1142" t="inlineStr">
        <is>
          <t>merged</t>
        </is>
      </c>
      <c r="J1142" t="inlineStr">
        <is>
          <t>6345613c6d724c58732c0a4c2fb46ea119f5ae5f</t>
        </is>
      </c>
      <c r="K1142">
        <f>HYPERLINK("http://gitlab.osmosys.co/incident-reporter/incident-reporter-app/-/merge_requests/1759#note_235635", "**Ionic lifecycle is asynchronous in nature so not required this now**")</f>
        <v/>
      </c>
      <c r="L1142" t="inlineStr">
        <is>
          <t>2025-07-12 02:04:29.638 IST</t>
        </is>
      </c>
      <c r="M1142" t="inlineStr">
        <is>
          <t>Soundariya B</t>
        </is>
      </c>
      <c r="N1142" t="inlineStr">
        <is>
          <t>Yes</t>
        </is>
      </c>
      <c r="O1142" t="inlineStr">
        <is>
          <t>Yes</t>
        </is>
      </c>
      <c r="P1142" t="inlineStr">
        <is>
          <t>Soundariya B</t>
        </is>
      </c>
      <c r="Q1142" t="inlineStr">
        <is>
          <t>Neutral</t>
        </is>
      </c>
    </row>
    <row r="1143">
      <c r="A1143" t="inlineStr">
        <is>
          <t>kulsrestha.j</t>
        </is>
      </c>
      <c r="B1143" t="inlineStr">
        <is>
          <t>Kulsrestha Joshi</t>
        </is>
      </c>
      <c r="C1143" t="inlineStr">
        <is>
          <t>kulsrestha.j@osmosys.co</t>
        </is>
      </c>
      <c r="D1143" t="inlineStr">
        <is>
          <t>incident-reporter</t>
        </is>
      </c>
      <c r="E1143">
        <f>HYPERLINK("http://gitlab.osmosys.co/incident-reporter/incident-reporter-app", "OQSHA Mobile App")</f>
        <v/>
      </c>
      <c r="F1143">
        <f>HYPERLINK("http://gitlab.osmosys.co/incident-reporter/incident-reporter-app/-/merge_requests/1759", "feat: add department association in tickets")</f>
        <v/>
      </c>
      <c r="G1143" t="inlineStr">
        <is>
          <t>feat/tickets-department</t>
        </is>
      </c>
      <c r="H1143" t="inlineStr">
        <is>
          <t>sprint-17</t>
        </is>
      </c>
      <c r="I1143" t="inlineStr">
        <is>
          <t>merged</t>
        </is>
      </c>
      <c r="J1143" t="inlineStr">
        <is>
          <t>6345613c6d724c58732c0a4c2fb46ea119f5ae5f</t>
        </is>
      </c>
      <c r="K1143">
        <f>HYPERLINK("http://gitlab.osmosys.co/incident-reporter/incident-reporter-app/-/merge_requests/1759#note_235897", "I am using await in the function to get the organizations details when i remove this it gives error so had to use it
![image](/uploads/7772fd5fd4ea434bab9bd00e5d0516f6/image.png){width=459 height=140}")</f>
        <v/>
      </c>
      <c r="L1143" t="inlineStr">
        <is>
          <t>2025-07-14 12:45:13.902 IST</t>
        </is>
      </c>
      <c r="M1143" t="inlineStr">
        <is>
          <t>Kulsrestha Joshi</t>
        </is>
      </c>
      <c r="N1143" t="inlineStr">
        <is>
          <t>No</t>
        </is>
      </c>
      <c r="O1143" t="inlineStr">
        <is>
          <t>Yes</t>
        </is>
      </c>
      <c r="P1143" t="inlineStr">
        <is>
          <t>Soundariya B</t>
        </is>
      </c>
      <c r="Q1143" t="inlineStr">
        <is>
          <t>Neutral</t>
        </is>
      </c>
    </row>
    <row r="1144">
      <c r="A1144" t="inlineStr">
        <is>
          <t>kulsrestha.j</t>
        </is>
      </c>
      <c r="B1144" t="inlineStr">
        <is>
          <t>Kulsrestha Joshi</t>
        </is>
      </c>
      <c r="C1144" t="inlineStr">
        <is>
          <t>kulsrestha.j@osmosys.co</t>
        </is>
      </c>
      <c r="D1144" t="inlineStr">
        <is>
          <t>incident-reporter</t>
        </is>
      </c>
      <c r="E1144">
        <f>HYPERLINK("http://gitlab.osmosys.co/incident-reporter/incident-reporter-app", "OQSHA Mobile App")</f>
        <v/>
      </c>
      <c r="F1144">
        <f>HYPERLINK("http://gitlab.osmosys.co/incident-reporter/incident-reporter-app/-/merge_requests/1759", "feat: add department association in tickets")</f>
        <v/>
      </c>
      <c r="G1144" t="inlineStr">
        <is>
          <t>feat/tickets-department</t>
        </is>
      </c>
      <c r="H1144" t="inlineStr">
        <is>
          <t>sprint-17</t>
        </is>
      </c>
      <c r="I1144" t="inlineStr">
        <is>
          <t>merged</t>
        </is>
      </c>
      <c r="J1144" t="inlineStr">
        <is>
          <t>d8dced5337b13bf64b34d64907f2d00d09d49c73</t>
        </is>
      </c>
      <c r="K1144">
        <f>HYPERLINK("http://gitlab.osmosys.co/incident-reporter/incident-reporter-app/-/merge_requests/1759#note_235636", "If this function using with await then only use otherwise no meaning of use this")</f>
        <v/>
      </c>
      <c r="L1144" t="inlineStr">
        <is>
          <t>2025-07-12 02:04:29.695 IST</t>
        </is>
      </c>
      <c r="M1144" t="inlineStr">
        <is>
          <t>Soundariya B</t>
        </is>
      </c>
      <c r="N1144" t="inlineStr">
        <is>
          <t>Yes</t>
        </is>
      </c>
      <c r="O1144" t="inlineStr">
        <is>
          <t>Yes</t>
        </is>
      </c>
      <c r="P1144" t="inlineStr">
        <is>
          <t>Soundariya B</t>
        </is>
      </c>
      <c r="Q1144" t="inlineStr">
        <is>
          <t>Neutral</t>
        </is>
      </c>
    </row>
    <row r="1145">
      <c r="A1145" t="inlineStr">
        <is>
          <t>kulsrestha.j</t>
        </is>
      </c>
      <c r="B1145" t="inlineStr">
        <is>
          <t>Kulsrestha Joshi</t>
        </is>
      </c>
      <c r="C1145" t="inlineStr">
        <is>
          <t>kulsrestha.j@osmosys.co</t>
        </is>
      </c>
      <c r="D1145" t="inlineStr">
        <is>
          <t>incident-reporter</t>
        </is>
      </c>
      <c r="E1145">
        <f>HYPERLINK("http://gitlab.osmosys.co/incident-reporter/incident-reporter-app", "OQSHA Mobile App")</f>
        <v/>
      </c>
      <c r="F1145">
        <f>HYPERLINK("http://gitlab.osmosys.co/incident-reporter/incident-reporter-app/-/merge_requests/1759", "feat: add department association in tickets")</f>
        <v/>
      </c>
      <c r="G1145" t="inlineStr">
        <is>
          <t>feat/tickets-department</t>
        </is>
      </c>
      <c r="H1145" t="inlineStr">
        <is>
          <t>sprint-17</t>
        </is>
      </c>
      <c r="I1145" t="inlineStr">
        <is>
          <t>merged</t>
        </is>
      </c>
      <c r="J1145" t="inlineStr">
        <is>
          <t>d8dced5337b13bf64b34d64907f2d00d09d49c73</t>
        </is>
      </c>
      <c r="K1145">
        <f>HYPERLINK("http://gitlab.osmosys.co/incident-reporter/incident-reporter-app/-/merge_requests/1759#note_235899", "Using await 
![image](/uploads/61f10ee6b429daac94d571d40c12dfea/image.png){width=402 height=193}")</f>
        <v/>
      </c>
      <c r="L1145" t="inlineStr">
        <is>
          <t>2025-07-14 12:46:00.812 IST</t>
        </is>
      </c>
      <c r="M1145" t="inlineStr">
        <is>
          <t>Kulsrestha Joshi</t>
        </is>
      </c>
      <c r="N1145" t="inlineStr">
        <is>
          <t>No</t>
        </is>
      </c>
      <c r="O1145" t="inlineStr">
        <is>
          <t>Yes</t>
        </is>
      </c>
      <c r="P1145" t="inlineStr">
        <is>
          <t>Soundariya B</t>
        </is>
      </c>
      <c r="Q1145" t="inlineStr">
        <is>
          <t>Neutral</t>
        </is>
      </c>
    </row>
    <row r="1146">
      <c r="A1146" t="inlineStr">
        <is>
          <t>kulsrestha.j</t>
        </is>
      </c>
      <c r="B1146" t="inlineStr">
        <is>
          <t>Kulsrestha Joshi</t>
        </is>
      </c>
      <c r="C1146" t="inlineStr">
        <is>
          <t>kulsrestha.j@osmosys.co</t>
        </is>
      </c>
      <c r="D1146" t="inlineStr">
        <is>
          <t>incident-reporter</t>
        </is>
      </c>
      <c r="E1146">
        <f>HYPERLINK("http://gitlab.osmosys.co/incident-reporter/incident-reporter-app", "OQSHA Mobile App")</f>
        <v/>
      </c>
      <c r="F1146">
        <f>HYPERLINK("http://gitlab.osmosys.co/incident-reporter/incident-reporter-app/-/merge_requests/1759", "feat: add department association in tickets")</f>
        <v/>
      </c>
      <c r="G1146" t="inlineStr">
        <is>
          <t>feat/tickets-department</t>
        </is>
      </c>
      <c r="H1146" t="inlineStr">
        <is>
          <t>sprint-17</t>
        </is>
      </c>
      <c r="I1146" t="inlineStr">
        <is>
          <t>merged</t>
        </is>
      </c>
      <c r="J1146" t="inlineStr">
        <is>
          <t>5d0d5e8be3b1f6bb74e89c1d4730ad59f0e6a98b</t>
        </is>
      </c>
      <c r="K1146">
        <f>HYPERLINK("http://gitlab.osmosys.co/incident-reporter/incident-reporter-app/-/merge_requests/1759#note_235637", "Use block structure  - fix it everywhere")</f>
        <v/>
      </c>
      <c r="L1146" t="inlineStr">
        <is>
          <t>2025-07-12 02:04:29.753 IST</t>
        </is>
      </c>
      <c r="M1146" t="inlineStr">
        <is>
          <t>Soundariya B</t>
        </is>
      </c>
      <c r="N1146" t="inlineStr">
        <is>
          <t>Yes</t>
        </is>
      </c>
      <c r="O1146" t="inlineStr">
        <is>
          <t>Yes</t>
        </is>
      </c>
      <c r="P1146" t="inlineStr">
        <is>
          <t>Soundariya B</t>
        </is>
      </c>
      <c r="Q1146" t="inlineStr">
        <is>
          <t>Bad</t>
        </is>
      </c>
    </row>
    <row r="1147">
      <c r="A1147" t="inlineStr">
        <is>
          <t>kulsrestha.j</t>
        </is>
      </c>
      <c r="B1147" t="inlineStr">
        <is>
          <t>Kulsrestha Joshi</t>
        </is>
      </c>
      <c r="C1147" t="inlineStr">
        <is>
          <t>kulsrestha.j@osmosys.co</t>
        </is>
      </c>
      <c r="D1147" t="inlineStr">
        <is>
          <t>incident-reporter</t>
        </is>
      </c>
      <c r="E1147">
        <f>HYPERLINK("http://gitlab.osmosys.co/incident-reporter/incident-reporter-app", "OQSHA Mobile App")</f>
        <v/>
      </c>
      <c r="F1147">
        <f>HYPERLINK("http://gitlab.osmosys.co/incident-reporter/incident-reporter-app/-/merge_requests/1759", "feat: add department association in tickets")</f>
        <v/>
      </c>
      <c r="G1147" t="inlineStr">
        <is>
          <t>feat/tickets-department</t>
        </is>
      </c>
      <c r="H1147" t="inlineStr">
        <is>
          <t>sprint-17</t>
        </is>
      </c>
      <c r="I1147" t="inlineStr">
        <is>
          <t>merged</t>
        </is>
      </c>
      <c r="J1147" t="inlineStr">
        <is>
          <t>5d0d5e8be3b1f6bb74e89c1d4730ad59f0e6a98b</t>
        </is>
      </c>
      <c r="K1147">
        <f>HYPERLINK("http://gitlab.osmosys.co/incident-reporter/incident-reporter-app/-/merge_requests/1759#note_235900", "added")</f>
        <v/>
      </c>
      <c r="L1147" t="inlineStr">
        <is>
          <t>2025-07-14 12:46:34.810 IST</t>
        </is>
      </c>
      <c r="M1147" t="inlineStr">
        <is>
          <t>Kulsrestha Joshi</t>
        </is>
      </c>
      <c r="N1147" t="inlineStr">
        <is>
          <t>No</t>
        </is>
      </c>
      <c r="O1147" t="inlineStr">
        <is>
          <t>Yes</t>
        </is>
      </c>
      <c r="P1147" t="inlineStr">
        <is>
          <t>Soundariya B</t>
        </is>
      </c>
      <c r="Q1147" t="inlineStr">
        <is>
          <t>Bad</t>
        </is>
      </c>
    </row>
    <row r="1148">
      <c r="A1148" t="inlineStr">
        <is>
          <t>kulsrestha.j</t>
        </is>
      </c>
      <c r="B1148" t="inlineStr">
        <is>
          <t>Kulsrestha Joshi</t>
        </is>
      </c>
      <c r="C1148" t="inlineStr">
        <is>
          <t>kulsrestha.j@osmosys.co</t>
        </is>
      </c>
      <c r="D1148" t="inlineStr">
        <is>
          <t>incident-reporter</t>
        </is>
      </c>
      <c r="E1148">
        <f>HYPERLINK("http://gitlab.osmosys.co/incident-reporter/incident-reporter-app", "OQSHA Mobile App")</f>
        <v/>
      </c>
      <c r="F1148">
        <f>HYPERLINK("http://gitlab.osmosys.co/incident-reporter/incident-reporter-app/-/merge_requests/1759", "feat: add department association in tickets")</f>
        <v/>
      </c>
      <c r="G1148" t="inlineStr">
        <is>
          <t>feat/tickets-department</t>
        </is>
      </c>
      <c r="H1148" t="inlineStr">
        <is>
          <t>sprint-17</t>
        </is>
      </c>
      <c r="I1148" t="inlineStr">
        <is>
          <t>merged</t>
        </is>
      </c>
      <c r="J1148" t="inlineStr">
        <is>
          <t>174f8016b7f44f4932227b3e3a8ca39e1ff24dc2</t>
        </is>
      </c>
      <c r="K1148">
        <f>HYPERLINK("http://gitlab.osmosys.co/incident-reporter/incident-reporter-app/-/merge_requests/1759#note_235638", "USER_DETAILS_BY_ORG - this concept is remove now by Dhruv in one the PR and its merge as well I think so please check with him and remove this code as of now Raj confirm we should get latest org by user id from api so this api will call in all pages and use the latest configs")</f>
        <v/>
      </c>
      <c r="L1148" t="inlineStr">
        <is>
          <t>2025-07-12 02:04:29.813 IST</t>
        </is>
      </c>
      <c r="M1148" t="inlineStr">
        <is>
          <t>Soundariya B</t>
        </is>
      </c>
      <c r="N1148" t="inlineStr">
        <is>
          <t>Yes</t>
        </is>
      </c>
      <c r="O1148" t="inlineStr">
        <is>
          <t>Yes</t>
        </is>
      </c>
      <c r="P1148" t="inlineStr">
        <is>
          <t>Soundariya B</t>
        </is>
      </c>
      <c r="Q1148" t="inlineStr">
        <is>
          <t>Bad</t>
        </is>
      </c>
    </row>
    <row r="1149">
      <c r="A1149" t="inlineStr">
        <is>
          <t>kulsrestha.j</t>
        </is>
      </c>
      <c r="B1149" t="inlineStr">
        <is>
          <t>Kulsrestha Joshi</t>
        </is>
      </c>
      <c r="C1149" t="inlineStr">
        <is>
          <t>kulsrestha.j@osmosys.co</t>
        </is>
      </c>
      <c r="D1149" t="inlineStr">
        <is>
          <t>incident-reporter</t>
        </is>
      </c>
      <c r="E1149">
        <f>HYPERLINK("http://gitlab.osmosys.co/incident-reporter/incident-reporter-app", "OQSHA Mobile App")</f>
        <v/>
      </c>
      <c r="F1149">
        <f>HYPERLINK("http://gitlab.osmosys.co/incident-reporter/incident-reporter-app/-/merge_requests/1759", "feat: add department association in tickets")</f>
        <v/>
      </c>
      <c r="G1149" t="inlineStr">
        <is>
          <t>feat/tickets-department</t>
        </is>
      </c>
      <c r="H1149" t="inlineStr">
        <is>
          <t>sprint-17</t>
        </is>
      </c>
      <c r="I1149" t="inlineStr">
        <is>
          <t>merged</t>
        </is>
      </c>
      <c r="J1149" t="inlineStr">
        <is>
          <t>174f8016b7f44f4932227b3e3a8ca39e1ff24dc2</t>
        </is>
      </c>
      <c r="K1149">
        <f>HYPERLINK("http://gitlab.osmosys.co/incident-reporter/incident-reporter-app/-/merge_requests/1759#note_235934", "Updated the logic")</f>
        <v/>
      </c>
      <c r="L1149" t="inlineStr">
        <is>
          <t>2025-07-14 13:16:42.497 IST</t>
        </is>
      </c>
      <c r="M1149" t="inlineStr">
        <is>
          <t>Kulsrestha Joshi</t>
        </is>
      </c>
      <c r="N1149" t="inlineStr">
        <is>
          <t>No</t>
        </is>
      </c>
      <c r="O1149" t="inlineStr">
        <is>
          <t>Yes</t>
        </is>
      </c>
      <c r="P1149" t="inlineStr">
        <is>
          <t>Soundariya B</t>
        </is>
      </c>
      <c r="Q1149" t="inlineStr">
        <is>
          <t>Bad</t>
        </is>
      </c>
    </row>
    <row r="1150">
      <c r="A1150" t="inlineStr">
        <is>
          <t>kulsrestha.j</t>
        </is>
      </c>
      <c r="B1150" t="inlineStr">
        <is>
          <t>Kulsrestha Joshi</t>
        </is>
      </c>
      <c r="C1150" t="inlineStr">
        <is>
          <t>kulsrestha.j@osmosys.co</t>
        </is>
      </c>
      <c r="D1150" t="inlineStr">
        <is>
          <t>incident-reporter</t>
        </is>
      </c>
      <c r="E1150">
        <f>HYPERLINK("http://gitlab.osmosys.co/incident-reporter/incident-reporter-app", "OQSHA Mobile App")</f>
        <v/>
      </c>
      <c r="F1150">
        <f>HYPERLINK("http://gitlab.osmosys.co/incident-reporter/incident-reporter-app/-/merge_requests/1759", "feat: add department association in tickets")</f>
        <v/>
      </c>
      <c r="G1150" t="inlineStr">
        <is>
          <t>feat/tickets-department</t>
        </is>
      </c>
      <c r="H1150" t="inlineStr">
        <is>
          <t>sprint-17</t>
        </is>
      </c>
      <c r="I1150" t="inlineStr">
        <is>
          <t>merged</t>
        </is>
      </c>
      <c r="J1150" t="inlineStr">
        <is>
          <t>2ca96f0a91c3997df8f8f9fda2cb89aa2dab65e5</t>
        </is>
      </c>
      <c r="K1150">
        <f>HYPERLINK("http://gitlab.osmosys.co/incident-reporter/incident-reporter-app/-/merge_requests/1759#note_235639", "As this function is async so it should call with await if not happening then there is no meaning to make the function as async")</f>
        <v/>
      </c>
      <c r="L1150" t="inlineStr">
        <is>
          <t>2025-07-12 02:04:29.909 IST</t>
        </is>
      </c>
      <c r="M1150" t="inlineStr">
        <is>
          <t>Soundariya B</t>
        </is>
      </c>
      <c r="N1150" t="inlineStr">
        <is>
          <t>Yes</t>
        </is>
      </c>
      <c r="O1150" t="inlineStr">
        <is>
          <t>Yes</t>
        </is>
      </c>
      <c r="P1150" t="inlineStr">
        <is>
          <t>Soundariya B</t>
        </is>
      </c>
      <c r="Q1150" t="inlineStr">
        <is>
          <t>Bad</t>
        </is>
      </c>
    </row>
    <row r="1151">
      <c r="A1151" t="inlineStr">
        <is>
          <t>kulsrestha.j</t>
        </is>
      </c>
      <c r="B1151" t="inlineStr">
        <is>
          <t>Kulsrestha Joshi</t>
        </is>
      </c>
      <c r="C1151" t="inlineStr">
        <is>
          <t>kulsrestha.j@osmosys.co</t>
        </is>
      </c>
      <c r="D1151" t="inlineStr">
        <is>
          <t>incident-reporter</t>
        </is>
      </c>
      <c r="E1151">
        <f>HYPERLINK("http://gitlab.osmosys.co/incident-reporter/incident-reporter-app", "OQSHA Mobile App")</f>
        <v/>
      </c>
      <c r="F1151">
        <f>HYPERLINK("http://gitlab.osmosys.co/incident-reporter/incident-reporter-app/-/merge_requests/1759", "feat: add department association in tickets")</f>
        <v/>
      </c>
      <c r="G1151" t="inlineStr">
        <is>
          <t>feat/tickets-department</t>
        </is>
      </c>
      <c r="H1151" t="inlineStr">
        <is>
          <t>sprint-17</t>
        </is>
      </c>
      <c r="I1151" t="inlineStr">
        <is>
          <t>merged</t>
        </is>
      </c>
      <c r="J1151" t="inlineStr">
        <is>
          <t>2ca96f0a91c3997df8f8f9fda2cb89aa2dab65e5</t>
        </is>
      </c>
      <c r="K1151">
        <f>HYPERLINK("http://gitlab.osmosys.co/incident-reporter/incident-reporter-app/-/merge_requests/1759#note_235906", "The function as there is await being used inside the function to call incident details service
![image](/uploads/31c482b01e980d80a3342f7378b1e5b6/image.png){width=506 height=95}")</f>
        <v/>
      </c>
      <c r="L1151" t="inlineStr">
        <is>
          <t>2025-07-14 12:49:28.468 IST</t>
        </is>
      </c>
      <c r="M1151" t="inlineStr">
        <is>
          <t>Kulsrestha Joshi</t>
        </is>
      </c>
      <c r="N1151" t="inlineStr">
        <is>
          <t>No</t>
        </is>
      </c>
      <c r="O1151" t="inlineStr">
        <is>
          <t>Yes</t>
        </is>
      </c>
      <c r="P1151" t="inlineStr">
        <is>
          <t>Soundariya B</t>
        </is>
      </c>
      <c r="Q1151" t="inlineStr">
        <is>
          <t>Bad</t>
        </is>
      </c>
    </row>
    <row r="1152">
      <c r="A1152" t="inlineStr">
        <is>
          <t>kulsrestha.j</t>
        </is>
      </c>
      <c r="B1152" t="inlineStr">
        <is>
          <t>Kulsrestha Joshi</t>
        </is>
      </c>
      <c r="C1152" t="inlineStr">
        <is>
          <t>kulsrestha.j@osmosys.co</t>
        </is>
      </c>
      <c r="D1152" t="inlineStr">
        <is>
          <t>incident-reporter</t>
        </is>
      </c>
      <c r="E1152">
        <f>HYPERLINK("http://gitlab.osmosys.co/incident-reporter/incident-reporter-app", "OQSHA Mobile App")</f>
        <v/>
      </c>
      <c r="F1152">
        <f>HYPERLINK("http://gitlab.osmosys.co/incident-reporter/incident-reporter-app/-/merge_requests/1759", "feat: add department association in tickets")</f>
        <v/>
      </c>
      <c r="G1152" t="inlineStr">
        <is>
          <t>feat/tickets-department</t>
        </is>
      </c>
      <c r="H1152" t="inlineStr">
        <is>
          <t>sprint-17</t>
        </is>
      </c>
      <c r="I1152" t="inlineStr">
        <is>
          <t>merged</t>
        </is>
      </c>
      <c r="J1152" t="inlineStr">
        <is>
          <t>e2978dc0f47f44489c67462e561ace76ddf45538</t>
        </is>
      </c>
      <c r="K1152">
        <f>HYPERLINK("http://gitlab.osmosys.co/incident-reporter/incident-reporter-app/-/merge_requests/1759#note_235640", "Don't use any data type")</f>
        <v/>
      </c>
      <c r="L1152" t="inlineStr">
        <is>
          <t>2025-07-12 02:04:29.961 IST</t>
        </is>
      </c>
      <c r="M1152" t="inlineStr">
        <is>
          <t>Soundariya B</t>
        </is>
      </c>
      <c r="N1152" t="inlineStr">
        <is>
          <t>Yes</t>
        </is>
      </c>
      <c r="O1152" t="inlineStr">
        <is>
          <t>Yes</t>
        </is>
      </c>
      <c r="P1152" t="inlineStr">
        <is>
          <t>Soundariya B</t>
        </is>
      </c>
      <c r="Q1152" t="inlineStr">
        <is>
          <t>Bad</t>
        </is>
      </c>
    </row>
    <row r="1153">
      <c r="A1153" t="inlineStr">
        <is>
          <t>kulsrestha.j</t>
        </is>
      </c>
      <c r="B1153" t="inlineStr">
        <is>
          <t>Kulsrestha Joshi</t>
        </is>
      </c>
      <c r="C1153" t="inlineStr">
        <is>
          <t>kulsrestha.j@osmosys.co</t>
        </is>
      </c>
      <c r="D1153" t="inlineStr">
        <is>
          <t>incident-reporter</t>
        </is>
      </c>
      <c r="E1153">
        <f>HYPERLINK("http://gitlab.osmosys.co/incident-reporter/incident-reporter-app", "OQSHA Mobile App")</f>
        <v/>
      </c>
      <c r="F1153">
        <f>HYPERLINK("http://gitlab.osmosys.co/incident-reporter/incident-reporter-app/-/merge_requests/1759", "feat: add department association in tickets")</f>
        <v/>
      </c>
      <c r="G1153" t="inlineStr">
        <is>
          <t>feat/tickets-department</t>
        </is>
      </c>
      <c r="H1153" t="inlineStr">
        <is>
          <t>sprint-17</t>
        </is>
      </c>
      <c r="I1153" t="inlineStr">
        <is>
          <t>merged</t>
        </is>
      </c>
      <c r="J1153" t="inlineStr">
        <is>
          <t>e2978dc0f47f44489c67462e561ace76ddf45538</t>
        </is>
      </c>
      <c r="K1153">
        <f>HYPERLINK("http://gitlab.osmosys.co/incident-reporter/incident-reporter-app/-/merge_requests/1759#note_235910", "Removed")</f>
        <v/>
      </c>
      <c r="L1153" t="inlineStr">
        <is>
          <t>2025-07-14 12:50:22.852 IST</t>
        </is>
      </c>
      <c r="M1153" t="inlineStr">
        <is>
          <t>Kulsrestha Joshi</t>
        </is>
      </c>
      <c r="N1153" t="inlineStr">
        <is>
          <t>No</t>
        </is>
      </c>
      <c r="O1153" t="inlineStr">
        <is>
          <t>Yes</t>
        </is>
      </c>
      <c r="P1153" t="inlineStr">
        <is>
          <t>Soundariya B</t>
        </is>
      </c>
      <c r="Q1153" t="inlineStr">
        <is>
          <t>Bad</t>
        </is>
      </c>
    </row>
    <row r="1154">
      <c r="A1154" t="inlineStr">
        <is>
          <t>kulsrestha.j</t>
        </is>
      </c>
      <c r="B1154" t="inlineStr">
        <is>
          <t>Kulsrestha Joshi</t>
        </is>
      </c>
      <c r="C1154" t="inlineStr">
        <is>
          <t>kulsrestha.j@osmosys.co</t>
        </is>
      </c>
      <c r="D1154" t="inlineStr">
        <is>
          <t>incident-reporter</t>
        </is>
      </c>
      <c r="E1154">
        <f>HYPERLINK("http://gitlab.osmosys.co/incident-reporter/incident-reporter-app", "OQSHA Mobile App")</f>
        <v/>
      </c>
      <c r="F1154">
        <f>HYPERLINK("http://gitlab.osmosys.co/incident-reporter/incident-reporter-app/-/merge_requests/1759", "feat: add department association in tickets")</f>
        <v/>
      </c>
      <c r="G1154" t="inlineStr">
        <is>
          <t>feat/tickets-department</t>
        </is>
      </c>
      <c r="H1154" t="inlineStr">
        <is>
          <t>sprint-17</t>
        </is>
      </c>
      <c r="I1154" t="inlineStr">
        <is>
          <t>merged</t>
        </is>
      </c>
      <c r="J1154" t="inlineStr">
        <is>
          <t>a42e00f3ef777de67cde0410afc6555eb82dde3b</t>
        </is>
      </c>
      <c r="K1154">
        <f>HYPERLINK("http://gitlab.osmosys.co/incident-reporter/incident-reporter-app/-/merge_requests/1759#note_235641", "As this function is async so it should call with await if not happening then there is no meaning to make the function as async")</f>
        <v/>
      </c>
      <c r="L1154" t="inlineStr">
        <is>
          <t>2025-07-12 02:04:30.014 IST</t>
        </is>
      </c>
      <c r="M1154" t="inlineStr">
        <is>
          <t>Soundariya B</t>
        </is>
      </c>
      <c r="N1154" t="inlineStr">
        <is>
          <t>Yes</t>
        </is>
      </c>
      <c r="O1154" t="inlineStr">
        <is>
          <t>Yes</t>
        </is>
      </c>
      <c r="P1154" t="inlineStr">
        <is>
          <t>Soundariya B</t>
        </is>
      </c>
      <c r="Q1154" t="inlineStr">
        <is>
          <t>Bad</t>
        </is>
      </c>
    </row>
    <row r="1155">
      <c r="A1155" t="inlineStr">
        <is>
          <t>kulsrestha.j</t>
        </is>
      </c>
      <c r="B1155" t="inlineStr">
        <is>
          <t>Kulsrestha Joshi</t>
        </is>
      </c>
      <c r="C1155" t="inlineStr">
        <is>
          <t>kulsrestha.j@osmosys.co</t>
        </is>
      </c>
      <c r="D1155" t="inlineStr">
        <is>
          <t>incident-reporter</t>
        </is>
      </c>
      <c r="E1155">
        <f>HYPERLINK("http://gitlab.osmosys.co/incident-reporter/incident-reporter-app", "OQSHA Mobile App")</f>
        <v/>
      </c>
      <c r="F1155">
        <f>HYPERLINK("http://gitlab.osmosys.co/incident-reporter/incident-reporter-app/-/merge_requests/1759", "feat: add department association in tickets")</f>
        <v/>
      </c>
      <c r="G1155" t="inlineStr">
        <is>
          <t>feat/tickets-department</t>
        </is>
      </c>
      <c r="H1155" t="inlineStr">
        <is>
          <t>sprint-17</t>
        </is>
      </c>
      <c r="I1155" t="inlineStr">
        <is>
          <t>merged</t>
        </is>
      </c>
      <c r="J1155" t="inlineStr">
        <is>
          <t>a42e00f3ef777de67cde0410afc6555eb82dde3b</t>
        </is>
      </c>
      <c r="K1155">
        <f>HYPERLINK("http://gitlab.osmosys.co/incident-reporter/incident-reporter-app/-/merge_requests/1759#note_235907", "The function as there is await being used inside the function to call incident details service")</f>
        <v/>
      </c>
      <c r="L1155" t="inlineStr">
        <is>
          <t>2025-07-14 12:49:55.624 IST</t>
        </is>
      </c>
      <c r="M1155" t="inlineStr">
        <is>
          <t>Kulsrestha Joshi</t>
        </is>
      </c>
      <c r="N1155" t="inlineStr">
        <is>
          <t>No</t>
        </is>
      </c>
      <c r="O1155" t="inlineStr">
        <is>
          <t>Yes</t>
        </is>
      </c>
      <c r="P1155" t="inlineStr">
        <is>
          <t>Soundariya B</t>
        </is>
      </c>
      <c r="Q1155" t="inlineStr">
        <is>
          <t>Bad</t>
        </is>
      </c>
    </row>
    <row r="1156">
      <c r="A1156" t="inlineStr">
        <is>
          <t>kulsrestha.j</t>
        </is>
      </c>
      <c r="B1156" t="inlineStr">
        <is>
          <t>Kulsrestha Joshi</t>
        </is>
      </c>
      <c r="C1156" t="inlineStr">
        <is>
          <t>kulsrestha.j@osmosys.co</t>
        </is>
      </c>
      <c r="D1156" t="inlineStr">
        <is>
          <t>incident-reporter</t>
        </is>
      </c>
      <c r="E1156">
        <f>HYPERLINK("http://gitlab.osmosys.co/incident-reporter/incident-reporter-app", "OQSHA Mobile App")</f>
        <v/>
      </c>
      <c r="F1156">
        <f>HYPERLINK("http://gitlab.osmosys.co/incident-reporter/incident-reporter-app/-/merge_requests/1759", "feat: add department association in tickets")</f>
        <v/>
      </c>
      <c r="G1156" t="inlineStr">
        <is>
          <t>feat/tickets-department</t>
        </is>
      </c>
      <c r="H1156" t="inlineStr">
        <is>
          <t>sprint-17</t>
        </is>
      </c>
      <c r="I1156" t="inlineStr">
        <is>
          <t>merged</t>
        </is>
      </c>
      <c r="J1156" t="inlineStr">
        <is>
          <t>2d878ceabd4e8b6902e64b3f39dfe2384bbe4155</t>
        </is>
      </c>
      <c r="K1156">
        <f>HYPERLINK("http://gitlab.osmosys.co/incident-reporter/incident-reporter-app/-/merge_requests/1759#note_235642", "I believe these lines of code using more than 1 place so please improve and reuse it")</f>
        <v/>
      </c>
      <c r="L1156" t="inlineStr">
        <is>
          <t>2025-07-12 02:04:30.073 IST</t>
        </is>
      </c>
      <c r="M1156" t="inlineStr">
        <is>
          <t>Soundariya B</t>
        </is>
      </c>
      <c r="N1156" t="inlineStr">
        <is>
          <t>Yes</t>
        </is>
      </c>
      <c r="O1156" t="inlineStr">
        <is>
          <t>Yes</t>
        </is>
      </c>
      <c r="P1156" t="inlineStr">
        <is>
          <t>Soundariya B</t>
        </is>
      </c>
      <c r="Q1156" t="inlineStr">
        <is>
          <t>Bad</t>
        </is>
      </c>
    </row>
    <row r="1157">
      <c r="A1157" t="inlineStr">
        <is>
          <t>kulsrestha.j</t>
        </is>
      </c>
      <c r="B1157" t="inlineStr">
        <is>
          <t>Kulsrestha Joshi</t>
        </is>
      </c>
      <c r="C1157" t="inlineStr">
        <is>
          <t>kulsrestha.j@osmosys.co</t>
        </is>
      </c>
      <c r="D1157" t="inlineStr">
        <is>
          <t>incident-reporter</t>
        </is>
      </c>
      <c r="E1157">
        <f>HYPERLINK("http://gitlab.osmosys.co/incident-reporter/incident-reporter-app", "OQSHA Mobile App")</f>
        <v/>
      </c>
      <c r="F1157">
        <f>HYPERLINK("http://gitlab.osmosys.co/incident-reporter/incident-reporter-app/-/merge_requests/1759", "feat: add department association in tickets")</f>
        <v/>
      </c>
      <c r="G1157" t="inlineStr">
        <is>
          <t>feat/tickets-department</t>
        </is>
      </c>
      <c r="H1157" t="inlineStr">
        <is>
          <t>sprint-17</t>
        </is>
      </c>
      <c r="I1157" t="inlineStr">
        <is>
          <t>merged</t>
        </is>
      </c>
      <c r="J1157" t="inlineStr">
        <is>
          <t>2d878ceabd4e8b6902e64b3f39dfe2384bbe4155</t>
        </is>
      </c>
      <c r="K1157">
        <f>HYPERLINK("http://gitlab.osmosys.co/incident-reporter/incident-reporter-app/-/merge_requests/1759#note_235915", "Not used 
![image](/uploads/6d1b8888f04e3a750ffaad095bf6d002/image.png){width=1123 height=750}")</f>
        <v/>
      </c>
      <c r="L1157" t="inlineStr">
        <is>
          <t>2025-07-14 12:52:50.867 IST</t>
        </is>
      </c>
      <c r="M1157" t="inlineStr">
        <is>
          <t>Kulsrestha Joshi</t>
        </is>
      </c>
      <c r="N1157" t="inlineStr">
        <is>
          <t>No</t>
        </is>
      </c>
      <c r="O1157" t="inlineStr">
        <is>
          <t>Yes</t>
        </is>
      </c>
      <c r="P1157" t="inlineStr">
        <is>
          <t>Soundariya B</t>
        </is>
      </c>
      <c r="Q1157" t="inlineStr">
        <is>
          <t>Bad</t>
        </is>
      </c>
    </row>
    <row r="1158">
      <c r="A1158" t="inlineStr">
        <is>
          <t>kulsrestha.j</t>
        </is>
      </c>
      <c r="B1158" t="inlineStr">
        <is>
          <t>Kulsrestha Joshi</t>
        </is>
      </c>
      <c r="C1158" t="inlineStr">
        <is>
          <t>kulsrestha.j@osmosys.co</t>
        </is>
      </c>
      <c r="D1158" t="inlineStr">
        <is>
          <t>incident-reporter</t>
        </is>
      </c>
      <c r="E1158">
        <f>HYPERLINK("http://gitlab.osmosys.co/incident-reporter/incident-reporter-app", "OQSHA Mobile App")</f>
        <v/>
      </c>
      <c r="F1158">
        <f>HYPERLINK("http://gitlab.osmosys.co/incident-reporter/incident-reporter-app/-/merge_requests/1759", "feat: add department association in tickets")</f>
        <v/>
      </c>
      <c r="G1158" t="inlineStr">
        <is>
          <t>feat/tickets-department</t>
        </is>
      </c>
      <c r="H1158" t="inlineStr">
        <is>
          <t>sprint-17</t>
        </is>
      </c>
      <c r="I1158" t="inlineStr">
        <is>
          <t>merged</t>
        </is>
      </c>
      <c r="J1158" t="inlineStr">
        <is>
          <t>b9f8842b1f03f5816338bef6d6080a4047ac5e0d</t>
        </is>
      </c>
      <c r="K1158">
        <f>HYPERLINK("http://gitlab.osmosys.co/incident-reporter/incident-reporter-app/-/merge_requests/1759#note_235643", "As this function is async so it should call with await if not happening then there is no meaning to make the function as async")</f>
        <v/>
      </c>
      <c r="L1158" t="inlineStr">
        <is>
          <t>2025-07-12 02:04:30.128 IST</t>
        </is>
      </c>
      <c r="M1158" t="inlineStr">
        <is>
          <t>Soundariya B</t>
        </is>
      </c>
      <c r="N1158" t="inlineStr">
        <is>
          <t>Yes</t>
        </is>
      </c>
      <c r="O1158" t="inlineStr">
        <is>
          <t>Yes</t>
        </is>
      </c>
      <c r="P1158" t="inlineStr">
        <is>
          <t>Soundariya B</t>
        </is>
      </c>
      <c r="Q1158" t="inlineStr">
        <is>
          <t>Bad</t>
        </is>
      </c>
    </row>
    <row r="1159">
      <c r="A1159" t="inlineStr">
        <is>
          <t>kulsrestha.j</t>
        </is>
      </c>
      <c r="B1159" t="inlineStr">
        <is>
          <t>Kulsrestha Joshi</t>
        </is>
      </c>
      <c r="C1159" t="inlineStr">
        <is>
          <t>kulsrestha.j@osmosys.co</t>
        </is>
      </c>
      <c r="D1159" t="inlineStr">
        <is>
          <t>incident-reporter</t>
        </is>
      </c>
      <c r="E1159">
        <f>HYPERLINK("http://gitlab.osmosys.co/incident-reporter/incident-reporter-app", "OQSHA Mobile App")</f>
        <v/>
      </c>
      <c r="F1159">
        <f>HYPERLINK("http://gitlab.osmosys.co/incident-reporter/incident-reporter-app/-/merge_requests/1759", "feat: add department association in tickets")</f>
        <v/>
      </c>
      <c r="G1159" t="inlineStr">
        <is>
          <t>feat/tickets-department</t>
        </is>
      </c>
      <c r="H1159" t="inlineStr">
        <is>
          <t>sprint-17</t>
        </is>
      </c>
      <c r="I1159" t="inlineStr">
        <is>
          <t>merged</t>
        </is>
      </c>
      <c r="J1159" t="inlineStr">
        <is>
          <t>b9f8842b1f03f5816338bef6d6080a4047ac5e0d</t>
        </is>
      </c>
      <c r="K1159">
        <f>HYPERLINK("http://gitlab.osmosys.co/incident-reporter/incident-reporter-app/-/merge_requests/1759#note_235911", "It used await for the function call inside 
![image](/uploads/c96b7af21f3676ad4fa0a7b77b2df512/image.png){width=567 height=210}")</f>
        <v/>
      </c>
      <c r="L1159" t="inlineStr">
        <is>
          <t>2025-07-14 12:51:16.189 IST</t>
        </is>
      </c>
      <c r="M1159" t="inlineStr">
        <is>
          <t>Kulsrestha Joshi</t>
        </is>
      </c>
      <c r="N1159" t="inlineStr">
        <is>
          <t>No</t>
        </is>
      </c>
      <c r="O1159" t="inlineStr">
        <is>
          <t>Yes</t>
        </is>
      </c>
      <c r="P1159" t="inlineStr">
        <is>
          <t>Soundariya B</t>
        </is>
      </c>
      <c r="Q1159" t="inlineStr">
        <is>
          <t>Bad</t>
        </is>
      </c>
    </row>
    <row r="1160">
      <c r="A1160" t="inlineStr">
        <is>
          <t>kulsrestha.j</t>
        </is>
      </c>
      <c r="B1160" t="inlineStr">
        <is>
          <t>Kulsrestha Joshi</t>
        </is>
      </c>
      <c r="C1160" t="inlineStr">
        <is>
          <t>kulsrestha.j@osmosys.co</t>
        </is>
      </c>
      <c r="D1160" t="inlineStr">
        <is>
          <t>incident-reporter</t>
        </is>
      </c>
      <c r="E1160">
        <f>HYPERLINK("http://gitlab.osmosys.co/incident-reporter/incident-reporter-app", "OQSHA Mobile App")</f>
        <v/>
      </c>
      <c r="F1160">
        <f>HYPERLINK("http://gitlab.osmosys.co/incident-reporter/incident-reporter-app/-/merge_requests/1736", "feat: add direct task association from tickets page")</f>
        <v/>
      </c>
      <c r="G1160" t="inlineStr">
        <is>
          <t>feat/add-task-incidents</t>
        </is>
      </c>
      <c r="H1160" t="inlineStr">
        <is>
          <t>sprint-17</t>
        </is>
      </c>
      <c r="I1160" t="inlineStr">
        <is>
          <t>merged</t>
        </is>
      </c>
      <c r="J1160" t="inlineStr">
        <is>
          <t>3eb546d036d5848c63b07efb24dc757737d29cdc</t>
        </is>
      </c>
      <c r="K1160">
        <f>HYPERLINK("http://gitlab.osmosys.co/incident-reporter/incident-reporter-app/-/merge_requests/1736#note_231782", "https://gitlab.osmosys.co/incident-reporter/incident-reporter-angular-portal/-/merge_requests/3372 - Ref the comments from portal PR")</f>
        <v/>
      </c>
      <c r="L1160" t="inlineStr">
        <is>
          <t>2025-07-04 01:13:29.696 IST</t>
        </is>
      </c>
      <c r="M1160" t="inlineStr">
        <is>
          <t>Soundariya B</t>
        </is>
      </c>
      <c r="N1160" t="inlineStr">
        <is>
          <t>Yes</t>
        </is>
      </c>
      <c r="O1160" t="inlineStr">
        <is>
          <t>Yes</t>
        </is>
      </c>
      <c r="P1160" t="inlineStr">
        <is>
          <t>Soundariya B</t>
        </is>
      </c>
      <c r="Q1160" t="inlineStr">
        <is>
          <t>Neutral</t>
        </is>
      </c>
    </row>
    <row r="1161">
      <c r="A1161" t="inlineStr">
        <is>
          <t>kulsrestha.j</t>
        </is>
      </c>
      <c r="B1161" t="inlineStr">
        <is>
          <t>Kulsrestha Joshi</t>
        </is>
      </c>
      <c r="C1161" t="inlineStr">
        <is>
          <t>kulsrestha.j@osmosys.co</t>
        </is>
      </c>
      <c r="D1161" t="inlineStr">
        <is>
          <t>incident-reporter</t>
        </is>
      </c>
      <c r="E1161">
        <f>HYPERLINK("http://gitlab.osmosys.co/incident-reporter/incident-reporter-app", "OQSHA Mobile App")</f>
        <v/>
      </c>
      <c r="F1161">
        <f>HYPERLINK("http://gitlab.osmosys.co/incident-reporter/incident-reporter-app/-/merge_requests/1736", "feat: add direct task association from tickets page")</f>
        <v/>
      </c>
      <c r="G1161" t="inlineStr">
        <is>
          <t>feat/add-task-incidents</t>
        </is>
      </c>
      <c r="H1161" t="inlineStr">
        <is>
          <t>sprint-17</t>
        </is>
      </c>
      <c r="I1161" t="inlineStr">
        <is>
          <t>merged</t>
        </is>
      </c>
      <c r="J1161" t="inlineStr">
        <is>
          <t>3eb546d036d5848c63b07efb24dc757737d29cdc</t>
        </is>
      </c>
      <c r="K1161">
        <f>HYPERLINK("http://gitlab.osmosys.co/incident-reporter/incident-reporter-app/-/merge_requests/1736#note_231928", "Didn't find any relevant comment from portal applicable here")</f>
        <v/>
      </c>
      <c r="L1161" t="inlineStr">
        <is>
          <t>2025-07-04 11:31:29.585 IST</t>
        </is>
      </c>
      <c r="M1161" t="inlineStr">
        <is>
          <t>Kulsrestha Joshi</t>
        </is>
      </c>
      <c r="N1161" t="inlineStr">
        <is>
          <t>No</t>
        </is>
      </c>
      <c r="O1161" t="inlineStr">
        <is>
          <t>Yes</t>
        </is>
      </c>
      <c r="P1161" t="inlineStr">
        <is>
          <t>Soundariya B</t>
        </is>
      </c>
      <c r="Q1161" t="inlineStr">
        <is>
          <t>Neutral</t>
        </is>
      </c>
    </row>
    <row r="1162">
      <c r="A1162" t="inlineStr">
        <is>
          <t>kulsrestha.j</t>
        </is>
      </c>
      <c r="B1162" t="inlineStr">
        <is>
          <t>Kulsrestha Joshi</t>
        </is>
      </c>
      <c r="C1162" t="inlineStr">
        <is>
          <t>kulsrestha.j@osmosys.co</t>
        </is>
      </c>
      <c r="D1162" t="inlineStr">
        <is>
          <t>incident-reporter</t>
        </is>
      </c>
      <c r="E1162">
        <f>HYPERLINK("http://gitlab.osmosys.co/incident-reporter/incident-reporter-app", "OQSHA Mobile App")</f>
        <v/>
      </c>
      <c r="F1162">
        <f>HYPERLINK("http://gitlab.osmosys.co/incident-reporter/incident-reporter-app/-/merge_requests/1736", "feat: add direct task association from tickets page")</f>
        <v/>
      </c>
      <c r="G1162" t="inlineStr">
        <is>
          <t>feat/add-task-incidents</t>
        </is>
      </c>
      <c r="H1162" t="inlineStr">
        <is>
          <t>sprint-17</t>
        </is>
      </c>
      <c r="I1162" t="inlineStr">
        <is>
          <t>merged</t>
        </is>
      </c>
      <c r="J1162" t="inlineStr">
        <is>
          <t>9b54cfb43c593155f7ae8c41bf36914c8cbd0439</t>
        </is>
      </c>
      <c r="K1162">
        <f>HYPERLINK("http://gitlab.osmosys.co/incident-reporter/incident-reporter-app/-/merge_requests/1736#note_231960", "Not recommended")</f>
        <v/>
      </c>
      <c r="L1162" t="inlineStr">
        <is>
          <t>2025-07-04 12:10:35.236 IST</t>
        </is>
      </c>
      <c r="M1162" t="inlineStr">
        <is>
          <t>Soundariya B</t>
        </is>
      </c>
      <c r="N1162" t="inlineStr">
        <is>
          <t>Yes</t>
        </is>
      </c>
      <c r="O1162" t="inlineStr">
        <is>
          <t>Yes</t>
        </is>
      </c>
      <c r="P1162" t="inlineStr">
        <is>
          <t>Soundariya B</t>
        </is>
      </c>
      <c r="Q1162" t="inlineStr">
        <is>
          <t>Bad</t>
        </is>
      </c>
    </row>
    <row r="1163">
      <c r="A1163" t="inlineStr">
        <is>
          <t>kulsrestha.j</t>
        </is>
      </c>
      <c r="B1163" t="inlineStr">
        <is>
          <t>Kulsrestha Joshi</t>
        </is>
      </c>
      <c r="C1163" t="inlineStr">
        <is>
          <t>kulsrestha.j@osmosys.co</t>
        </is>
      </c>
      <c r="D1163" t="inlineStr">
        <is>
          <t>incident-reporter</t>
        </is>
      </c>
      <c r="E1163">
        <f>HYPERLINK("http://gitlab.osmosys.co/incident-reporter/incident-reporter-app", "OQSHA Mobile App")</f>
        <v/>
      </c>
      <c r="F1163">
        <f>HYPERLINK("http://gitlab.osmosys.co/incident-reporter/incident-reporter-app/-/merge_requests/1736", "feat: add direct task association from tickets page")</f>
        <v/>
      </c>
      <c r="G1163" t="inlineStr">
        <is>
          <t>feat/add-task-incidents</t>
        </is>
      </c>
      <c r="H1163" t="inlineStr">
        <is>
          <t>sprint-17</t>
        </is>
      </c>
      <c r="I1163" t="inlineStr">
        <is>
          <t>merged</t>
        </is>
      </c>
      <c r="J1163" t="inlineStr">
        <is>
          <t>9b54cfb43c593155f7ae8c41bf36914c8cbd0439</t>
        </is>
      </c>
      <c r="K1163">
        <f>HYPERLINK("http://gitlab.osmosys.co/incident-reporter/incident-reporter-app/-/merge_requests/1736#note_232053", "Updated")</f>
        <v/>
      </c>
      <c r="L1163" t="inlineStr">
        <is>
          <t>2025-07-04 14:00:54.439 IST</t>
        </is>
      </c>
      <c r="M1163" t="inlineStr">
        <is>
          <t>Kulsrestha Joshi</t>
        </is>
      </c>
      <c r="N1163" t="inlineStr">
        <is>
          <t>No</t>
        </is>
      </c>
      <c r="O1163" t="inlineStr">
        <is>
          <t>Yes</t>
        </is>
      </c>
      <c r="P1163" t="inlineStr">
        <is>
          <t>Soundariya B</t>
        </is>
      </c>
      <c r="Q1163" t="inlineStr">
        <is>
          <t>Bad</t>
        </is>
      </c>
    </row>
    <row r="1164">
      <c r="A1164" t="inlineStr">
        <is>
          <t>kulsrestha.j</t>
        </is>
      </c>
      <c r="B1164" t="inlineStr">
        <is>
          <t>Kulsrestha Joshi</t>
        </is>
      </c>
      <c r="C1164" t="inlineStr">
        <is>
          <t>kulsrestha.j@osmosys.co</t>
        </is>
      </c>
      <c r="D1164" t="inlineStr">
        <is>
          <t>incident-reporter</t>
        </is>
      </c>
      <c r="E1164">
        <f>HYPERLINK("http://gitlab.osmosys.co/incident-reporter/incident-reporter-app", "OQSHA Mobile App")</f>
        <v/>
      </c>
      <c r="F1164">
        <f>HYPERLINK("http://gitlab.osmosys.co/incident-reporter/incident-reporter-app/-/merge_requests/1736", "feat: add direct task association from tickets page")</f>
        <v/>
      </c>
      <c r="G1164" t="inlineStr">
        <is>
          <t>feat/add-task-incidents</t>
        </is>
      </c>
      <c r="H1164" t="inlineStr">
        <is>
          <t>sprint-17</t>
        </is>
      </c>
      <c r="I1164" t="inlineStr">
        <is>
          <t>merged</t>
        </is>
      </c>
      <c r="J1164" t="inlineStr">
        <is>
          <t>5eb414f439219ee2a8c3498a65f40a369675456d</t>
        </is>
      </c>
      <c r="K1164">
        <f>HYPERLINK("http://gitlab.osmosys.co/incident-reporter/incident-reporter-app/-/merge_requests/1736#note_231961", "Same here")</f>
        <v/>
      </c>
      <c r="L1164" t="inlineStr">
        <is>
          <t>2025-07-04 12:10:35.323 IST</t>
        </is>
      </c>
      <c r="M1164" t="inlineStr">
        <is>
          <t>Soundariya B</t>
        </is>
      </c>
      <c r="N1164" t="inlineStr">
        <is>
          <t>Yes</t>
        </is>
      </c>
      <c r="O1164" t="inlineStr">
        <is>
          <t>Yes</t>
        </is>
      </c>
      <c r="P1164" t="inlineStr">
        <is>
          <t>Soundariya B</t>
        </is>
      </c>
      <c r="Q1164" t="inlineStr">
        <is>
          <t>Bad</t>
        </is>
      </c>
    </row>
    <row r="1165">
      <c r="A1165" t="inlineStr">
        <is>
          <t>kulsrestha.j</t>
        </is>
      </c>
      <c r="B1165" t="inlineStr">
        <is>
          <t>Kulsrestha Joshi</t>
        </is>
      </c>
      <c r="C1165" t="inlineStr">
        <is>
          <t>kulsrestha.j@osmosys.co</t>
        </is>
      </c>
      <c r="D1165" t="inlineStr">
        <is>
          <t>incident-reporter</t>
        </is>
      </c>
      <c r="E1165">
        <f>HYPERLINK("http://gitlab.osmosys.co/incident-reporter/incident-reporter-app", "OQSHA Mobile App")</f>
        <v/>
      </c>
      <c r="F1165">
        <f>HYPERLINK("http://gitlab.osmosys.co/incident-reporter/incident-reporter-app/-/merge_requests/1736", "feat: add direct task association from tickets page")</f>
        <v/>
      </c>
      <c r="G1165" t="inlineStr">
        <is>
          <t>feat/add-task-incidents</t>
        </is>
      </c>
      <c r="H1165" t="inlineStr">
        <is>
          <t>sprint-17</t>
        </is>
      </c>
      <c r="I1165" t="inlineStr">
        <is>
          <t>merged</t>
        </is>
      </c>
      <c r="J1165" t="inlineStr">
        <is>
          <t>5eb414f439219ee2a8c3498a65f40a369675456d</t>
        </is>
      </c>
      <c r="K1165">
        <f>HYPERLINK("http://gitlab.osmosys.co/incident-reporter/incident-reporter-app/-/merge_requests/1736#note_232054", "Updated")</f>
        <v/>
      </c>
      <c r="L1165" t="inlineStr">
        <is>
          <t>2025-07-04 14:01:05.871 IST</t>
        </is>
      </c>
      <c r="M1165" t="inlineStr">
        <is>
          <t>Kulsrestha Joshi</t>
        </is>
      </c>
      <c r="N1165" t="inlineStr">
        <is>
          <t>No</t>
        </is>
      </c>
      <c r="O1165" t="inlineStr">
        <is>
          <t>Yes</t>
        </is>
      </c>
      <c r="P1165" t="inlineStr">
        <is>
          <t>Soundariya B</t>
        </is>
      </c>
      <c r="Q1165" t="inlineStr">
        <is>
          <t>Bad</t>
        </is>
      </c>
    </row>
    <row r="1166">
      <c r="A1166" t="inlineStr">
        <is>
          <t>kulsrestha.j</t>
        </is>
      </c>
      <c r="B1166" t="inlineStr">
        <is>
          <t>Kulsrestha Joshi</t>
        </is>
      </c>
      <c r="C1166" t="inlineStr">
        <is>
          <t>kulsrestha.j@osmosys.co</t>
        </is>
      </c>
      <c r="D1166" t="inlineStr">
        <is>
          <t>incident-reporter</t>
        </is>
      </c>
      <c r="E1166">
        <f>HYPERLINK("http://gitlab.osmosys.co/incident-reporter/incident-reporter-app", "OQSHA Mobile App")</f>
        <v/>
      </c>
      <c r="F1166">
        <f>HYPERLINK("http://gitlab.osmosys.co/incident-reporter/incident-reporter-app/-/merge_requests/1736", "feat: add direct task association from tickets page")</f>
        <v/>
      </c>
      <c r="G1166" t="inlineStr">
        <is>
          <t>feat/add-task-incidents</t>
        </is>
      </c>
      <c r="H1166" t="inlineStr">
        <is>
          <t>sprint-17</t>
        </is>
      </c>
      <c r="I1166" t="inlineStr">
        <is>
          <t>merged</t>
        </is>
      </c>
      <c r="J1166" t="inlineStr">
        <is>
          <t>4b77c841c2dc6c4653f4845eb683ec284906adfc</t>
        </is>
      </c>
      <c r="K1166">
        <f>HYPERLINK("http://gitlab.osmosys.co/incident-reporter/incident-reporter-app/-/merge_requests/1736#note_231962", "I think this CSS using in 3-4 modules so can't you use it as global css?")</f>
        <v/>
      </c>
      <c r="L1166" t="inlineStr">
        <is>
          <t>2025-07-04 12:10:35.379 IST</t>
        </is>
      </c>
      <c r="M1166" t="inlineStr">
        <is>
          <t>Soundariya B</t>
        </is>
      </c>
      <c r="N1166" t="inlineStr">
        <is>
          <t>Yes</t>
        </is>
      </c>
      <c r="O1166" t="inlineStr">
        <is>
          <t>Yes</t>
        </is>
      </c>
      <c r="P1166" t="inlineStr">
        <is>
          <t>Soundariya B</t>
        </is>
      </c>
      <c r="Q1166" t="inlineStr">
        <is>
          <t>Bad</t>
        </is>
      </c>
    </row>
    <row r="1167">
      <c r="A1167" t="inlineStr">
        <is>
          <t>kulsrestha.j</t>
        </is>
      </c>
      <c r="B1167" t="inlineStr">
        <is>
          <t>Kulsrestha Joshi</t>
        </is>
      </c>
      <c r="C1167" t="inlineStr">
        <is>
          <t>kulsrestha.j@osmosys.co</t>
        </is>
      </c>
      <c r="D1167" t="inlineStr">
        <is>
          <t>incident-reporter</t>
        </is>
      </c>
      <c r="E1167">
        <f>HYPERLINK("http://gitlab.osmosys.co/incident-reporter/incident-reporter-app", "OQSHA Mobile App")</f>
        <v/>
      </c>
      <c r="F1167">
        <f>HYPERLINK("http://gitlab.osmosys.co/incident-reporter/incident-reporter-app/-/merge_requests/1736", "feat: add direct task association from tickets page")</f>
        <v/>
      </c>
      <c r="G1167" t="inlineStr">
        <is>
          <t>feat/add-task-incidents</t>
        </is>
      </c>
      <c r="H1167" t="inlineStr">
        <is>
          <t>sprint-17</t>
        </is>
      </c>
      <c r="I1167" t="inlineStr">
        <is>
          <t>merged</t>
        </is>
      </c>
      <c r="J1167" t="inlineStr">
        <is>
          <t>4b77c841c2dc6c4653f4845eb683ec284906adfc</t>
        </is>
      </c>
      <c r="K1167">
        <f>HYPERLINK("http://gitlab.osmosys.co/incident-reporter/incident-reporter-app/-/merge_requests/1736#note_231976", "No only in incidents ,i used it , checked globally , if we use in any other modules , we can add it later")</f>
        <v/>
      </c>
      <c r="L1167" t="inlineStr">
        <is>
          <t>2025-07-04 12:19:21.890 IST</t>
        </is>
      </c>
      <c r="M1167" t="inlineStr">
        <is>
          <t>Kulsrestha Joshi</t>
        </is>
      </c>
      <c r="N1167" t="inlineStr">
        <is>
          <t>No</t>
        </is>
      </c>
      <c r="O1167" t="inlineStr">
        <is>
          <t>Yes</t>
        </is>
      </c>
      <c r="P1167" t="inlineStr">
        <is>
          <t>Soundariya B</t>
        </is>
      </c>
      <c r="Q1167" t="inlineStr">
        <is>
          <t>Bad</t>
        </is>
      </c>
    </row>
    <row r="1168">
      <c r="A1168" t="inlineStr">
        <is>
          <t>kulsrestha.j</t>
        </is>
      </c>
      <c r="B1168" t="inlineStr">
        <is>
          <t>Kulsrestha Joshi</t>
        </is>
      </c>
      <c r="C1168" t="inlineStr">
        <is>
          <t>kulsrestha.j@osmosys.co</t>
        </is>
      </c>
      <c r="D1168" t="inlineStr">
        <is>
          <t>incident-reporter</t>
        </is>
      </c>
      <c r="E1168">
        <f>HYPERLINK("http://gitlab.osmosys.co/incident-reporter/incident-reporter-app", "OQSHA Mobile App")</f>
        <v/>
      </c>
      <c r="F1168">
        <f>HYPERLINK("http://gitlab.osmosys.co/incident-reporter/incident-reporter-app/-/merge_requests/1736", "feat: add direct task association from tickets page")</f>
        <v/>
      </c>
      <c r="G1168" t="inlineStr">
        <is>
          <t>feat/add-task-incidents</t>
        </is>
      </c>
      <c r="H1168" t="inlineStr">
        <is>
          <t>sprint-17</t>
        </is>
      </c>
      <c r="I1168" t="inlineStr">
        <is>
          <t>merged</t>
        </is>
      </c>
      <c r="J1168" t="inlineStr">
        <is>
          <t>4b77c841c2dc6c4653f4845eb683ec284906adfc</t>
        </is>
      </c>
      <c r="K1168">
        <f>HYPERLINK("http://gitlab.osmosys.co/incident-reporter/incident-reporter-app/-/merge_requests/1736#note_232105", "![image](/uploads/57aa1e7f3d3e4638343b2ab1cdcbc494/image.png)
Check this once and I think this is using other modules as I know it will be use for inspection and in future other modules")</f>
        <v/>
      </c>
      <c r="L1168" t="inlineStr">
        <is>
          <t>2025-07-04 15:02:03.813 IST</t>
        </is>
      </c>
      <c r="M1168" t="inlineStr">
        <is>
          <t>Soundariya B</t>
        </is>
      </c>
      <c r="N1168" t="inlineStr">
        <is>
          <t>Yes</t>
        </is>
      </c>
      <c r="O1168" t="inlineStr">
        <is>
          <t>Yes</t>
        </is>
      </c>
      <c r="P1168" t="inlineStr">
        <is>
          <t>Soundariya B</t>
        </is>
      </c>
      <c r="Q1168" t="inlineStr">
        <is>
          <t>Bad</t>
        </is>
      </c>
    </row>
    <row r="1169">
      <c r="A1169" t="inlineStr">
        <is>
          <t>kulsrestha.j</t>
        </is>
      </c>
      <c r="B1169" t="inlineStr">
        <is>
          <t>Kulsrestha Joshi</t>
        </is>
      </c>
      <c r="C1169" t="inlineStr">
        <is>
          <t>kulsrestha.j@osmosys.co</t>
        </is>
      </c>
      <c r="D1169" t="inlineStr">
        <is>
          <t>incident-reporter</t>
        </is>
      </c>
      <c r="E1169">
        <f>HYPERLINK("http://gitlab.osmosys.co/incident-reporter/incident-reporter-app", "OQSHA Mobile App")</f>
        <v/>
      </c>
      <c r="F1169">
        <f>HYPERLINK("http://gitlab.osmosys.co/incident-reporter/incident-reporter-app/-/merge_requests/1736", "feat: add direct task association from tickets page")</f>
        <v/>
      </c>
      <c r="G1169" t="inlineStr">
        <is>
          <t>feat/add-task-incidents</t>
        </is>
      </c>
      <c r="H1169" t="inlineStr">
        <is>
          <t>sprint-17</t>
        </is>
      </c>
      <c r="I1169" t="inlineStr">
        <is>
          <t>merged</t>
        </is>
      </c>
      <c r="J1169" t="inlineStr">
        <is>
          <t>4b77c841c2dc6c4653f4845eb683ec284906adfc</t>
        </is>
      </c>
      <c r="K1169">
        <f>HYPERLINK("http://gitlab.osmosys.co/incident-reporter/incident-reporter-app/-/merge_requests/1736#note_232166", "added in global css")</f>
        <v/>
      </c>
      <c r="L1169" t="inlineStr">
        <is>
          <t>2025-07-04 16:46:53.880 IST</t>
        </is>
      </c>
      <c r="M1169" t="inlineStr">
        <is>
          <t>Kulsrestha Joshi</t>
        </is>
      </c>
      <c r="N1169" t="inlineStr">
        <is>
          <t>No</t>
        </is>
      </c>
      <c r="O1169" t="inlineStr">
        <is>
          <t>Yes</t>
        </is>
      </c>
      <c r="P1169" t="inlineStr">
        <is>
          <t>Soundariya B</t>
        </is>
      </c>
      <c r="Q1169" t="inlineStr">
        <is>
          <t>Bad</t>
        </is>
      </c>
    </row>
    <row r="1170">
      <c r="A1170" t="inlineStr">
        <is>
          <t>kulsrestha.j</t>
        </is>
      </c>
      <c r="B1170" t="inlineStr">
        <is>
          <t>Kulsrestha Joshi</t>
        </is>
      </c>
      <c r="C1170" t="inlineStr">
        <is>
          <t>kulsrestha.j@osmosys.co</t>
        </is>
      </c>
      <c r="D1170" t="inlineStr">
        <is>
          <t>incident-reporter</t>
        </is>
      </c>
      <c r="E1170">
        <f>HYPERLINK("http://gitlab.osmosys.co/incident-reporter/incident-reporter-app", "OQSHA Mobile App")</f>
        <v/>
      </c>
      <c r="F1170">
        <f>HYPERLINK("http://gitlab.osmosys.co/incident-reporter/incident-reporter-app/-/merge_requests/1736", "feat: add direct task association from tickets page")</f>
        <v/>
      </c>
      <c r="G1170" t="inlineStr">
        <is>
          <t>feat/add-task-incidents</t>
        </is>
      </c>
      <c r="H1170" t="inlineStr">
        <is>
          <t>sprint-17</t>
        </is>
      </c>
      <c r="I1170" t="inlineStr">
        <is>
          <t>merged</t>
        </is>
      </c>
      <c r="J1170" t="inlineStr">
        <is>
          <t>8398ae82c361c2447072186afa71c62e81026302</t>
        </is>
      </c>
      <c r="K1170">
        <f>HYPERLINK("http://gitlab.osmosys.co/incident-reporter/incident-reporter-app/-/merge_requests/1736#note_231963", "Assignment to variable while passing parameter is not recommended")</f>
        <v/>
      </c>
      <c r="L1170" t="inlineStr">
        <is>
          <t>2025-07-04 12:10:35.466 IST</t>
        </is>
      </c>
      <c r="M1170" t="inlineStr">
        <is>
          <t>Soundariya B</t>
        </is>
      </c>
      <c r="N1170" t="inlineStr">
        <is>
          <t>Yes</t>
        </is>
      </c>
      <c r="O1170" t="inlineStr">
        <is>
          <t>Yes</t>
        </is>
      </c>
      <c r="P1170" t="inlineStr">
        <is>
          <t>Soundariya B</t>
        </is>
      </c>
      <c r="Q1170" t="inlineStr">
        <is>
          <t>Bad</t>
        </is>
      </c>
    </row>
    <row r="1171">
      <c r="A1171" t="inlineStr">
        <is>
          <t>kulsrestha.j</t>
        </is>
      </c>
      <c r="B1171" t="inlineStr">
        <is>
          <t>Kulsrestha Joshi</t>
        </is>
      </c>
      <c r="C1171" t="inlineStr">
        <is>
          <t>kulsrestha.j@osmosys.co</t>
        </is>
      </c>
      <c r="D1171" t="inlineStr">
        <is>
          <t>incident-reporter</t>
        </is>
      </c>
      <c r="E1171">
        <f>HYPERLINK("http://gitlab.osmosys.co/incident-reporter/incident-reporter-app", "OQSHA Mobile App")</f>
        <v/>
      </c>
      <c r="F1171">
        <f>HYPERLINK("http://gitlab.osmosys.co/incident-reporter/incident-reporter-app/-/merge_requests/1736", "feat: add direct task association from tickets page")</f>
        <v/>
      </c>
      <c r="G1171" t="inlineStr">
        <is>
          <t>feat/add-task-incidents</t>
        </is>
      </c>
      <c r="H1171" t="inlineStr">
        <is>
          <t>sprint-17</t>
        </is>
      </c>
      <c r="I1171" t="inlineStr">
        <is>
          <t>merged</t>
        </is>
      </c>
      <c r="J1171" t="inlineStr">
        <is>
          <t>8398ae82c361c2447072186afa71c62e81026302</t>
        </is>
      </c>
      <c r="K1171">
        <f>HYPERLINK("http://gitlab.osmosys.co/incident-reporter/incident-reporter-app/-/merge_requests/1736#note_232003", "Updated")</f>
        <v/>
      </c>
      <c r="L1171" t="inlineStr">
        <is>
          <t>2025-07-04 13:02:56.888 IST</t>
        </is>
      </c>
      <c r="M1171" t="inlineStr">
        <is>
          <t>Kulsrestha Joshi</t>
        </is>
      </c>
      <c r="N1171" t="inlineStr">
        <is>
          <t>No</t>
        </is>
      </c>
      <c r="O1171" t="inlineStr">
        <is>
          <t>Yes</t>
        </is>
      </c>
      <c r="P1171" t="inlineStr">
        <is>
          <t>Soundariya B</t>
        </is>
      </c>
      <c r="Q1171" t="inlineStr">
        <is>
          <t>Bad</t>
        </is>
      </c>
    </row>
    <row r="1172">
      <c r="A1172" t="inlineStr">
        <is>
          <t>kulsrestha.j</t>
        </is>
      </c>
      <c r="B1172" t="inlineStr">
        <is>
          <t>Kulsrestha Joshi</t>
        </is>
      </c>
      <c r="C1172" t="inlineStr">
        <is>
          <t>kulsrestha.j@osmosys.co</t>
        </is>
      </c>
      <c r="D1172" t="inlineStr">
        <is>
          <t>incident-reporter</t>
        </is>
      </c>
      <c r="E1172">
        <f>HYPERLINK("http://gitlab.osmosys.co/incident-reporter/incident-reporter-app", "OQSHA Mobile App")</f>
        <v/>
      </c>
      <c r="F1172">
        <f>HYPERLINK("http://gitlab.osmosys.co/incident-reporter/incident-reporter-app/-/merge_requests/1736", "feat: add direct task association from tickets page")</f>
        <v/>
      </c>
      <c r="G1172" t="inlineStr">
        <is>
          <t>feat/add-task-incidents</t>
        </is>
      </c>
      <c r="H1172" t="inlineStr">
        <is>
          <t>sprint-17</t>
        </is>
      </c>
      <c r="I1172" t="inlineStr">
        <is>
          <t>merged</t>
        </is>
      </c>
      <c r="J1172" t="inlineStr">
        <is>
          <t>ed4df46b880bf5ca6c1d6b20d3b66d5548ea9a21</t>
        </is>
      </c>
      <c r="K1172">
        <f>HYPERLINK("http://gitlab.osmosys.co/incident-reporter/incident-reporter-app/-/merge_requests/1736#note_231964", "Add logger")</f>
        <v/>
      </c>
      <c r="L1172" t="inlineStr">
        <is>
          <t>2025-07-04 12:10:35.518 IST</t>
        </is>
      </c>
      <c r="M1172" t="inlineStr">
        <is>
          <t>Soundariya B</t>
        </is>
      </c>
      <c r="N1172" t="inlineStr">
        <is>
          <t>Yes</t>
        </is>
      </c>
      <c r="O1172" t="inlineStr">
        <is>
          <t>Yes</t>
        </is>
      </c>
      <c r="P1172" t="inlineStr">
        <is>
          <t>Soundariya B</t>
        </is>
      </c>
      <c r="Q1172" t="inlineStr">
        <is>
          <t>Bad</t>
        </is>
      </c>
    </row>
    <row r="1173">
      <c r="A1173" t="inlineStr">
        <is>
          <t>kulsrestha.j</t>
        </is>
      </c>
      <c r="B1173" t="inlineStr">
        <is>
          <t>Kulsrestha Joshi</t>
        </is>
      </c>
      <c r="C1173" t="inlineStr">
        <is>
          <t>kulsrestha.j@osmosys.co</t>
        </is>
      </c>
      <c r="D1173" t="inlineStr">
        <is>
          <t>incident-reporter</t>
        </is>
      </c>
      <c r="E1173">
        <f>HYPERLINK("http://gitlab.osmosys.co/incident-reporter/incident-reporter-app", "OQSHA Mobile App")</f>
        <v/>
      </c>
      <c r="F1173">
        <f>HYPERLINK("http://gitlab.osmosys.co/incident-reporter/incident-reporter-app/-/merge_requests/1736", "feat: add direct task association from tickets page")</f>
        <v/>
      </c>
      <c r="G1173" t="inlineStr">
        <is>
          <t>feat/add-task-incidents</t>
        </is>
      </c>
      <c r="H1173" t="inlineStr">
        <is>
          <t>sprint-17</t>
        </is>
      </c>
      <c r="I1173" t="inlineStr">
        <is>
          <t>merged</t>
        </is>
      </c>
      <c r="J1173" t="inlineStr">
        <is>
          <t>ed4df46b880bf5ca6c1d6b20d3b66d5548ea9a21</t>
        </is>
      </c>
      <c r="K1173">
        <f>HYPERLINK("http://gitlab.osmosys.co/incident-reporter/incident-reporter-app/-/merge_requests/1736#note_231997", "Added")</f>
        <v/>
      </c>
      <c r="L1173" t="inlineStr">
        <is>
          <t>2025-07-04 12:40:39.519 IST</t>
        </is>
      </c>
      <c r="M1173" t="inlineStr">
        <is>
          <t>Kulsrestha Joshi</t>
        </is>
      </c>
      <c r="N1173" t="inlineStr">
        <is>
          <t>No</t>
        </is>
      </c>
      <c r="O1173" t="inlineStr">
        <is>
          <t>Yes</t>
        </is>
      </c>
      <c r="P1173" t="inlineStr">
        <is>
          <t>Soundariya B</t>
        </is>
      </c>
      <c r="Q1173" t="inlineStr">
        <is>
          <t>Bad</t>
        </is>
      </c>
    </row>
    <row r="1174">
      <c r="A1174" t="inlineStr">
        <is>
          <t>kulsrestha.j</t>
        </is>
      </c>
      <c r="B1174" t="inlineStr">
        <is>
          <t>Kulsrestha Joshi</t>
        </is>
      </c>
      <c r="C1174" t="inlineStr">
        <is>
          <t>kulsrestha.j@osmosys.co</t>
        </is>
      </c>
      <c r="D1174" t="inlineStr">
        <is>
          <t>incident-reporter</t>
        </is>
      </c>
      <c r="E1174">
        <f>HYPERLINK("http://gitlab.osmosys.co/incident-reporter/incident-reporter-app", "OQSHA Mobile App")</f>
        <v/>
      </c>
      <c r="F1174">
        <f>HYPERLINK("http://gitlab.osmosys.co/incident-reporter/incident-reporter-app/-/merge_requests/1735", "feat: add direct task association from tickets page")</f>
        <v/>
      </c>
      <c r="G1174" t="inlineStr">
        <is>
          <t>feat/add-task-tickets</t>
        </is>
      </c>
      <c r="H1174" t="inlineStr">
        <is>
          <t>sprint-17</t>
        </is>
      </c>
      <c r="I1174" t="inlineStr">
        <is>
          <t>closed</t>
        </is>
      </c>
      <c r="J1174" t="inlineStr"/>
      <c r="K1174" t="inlineStr"/>
      <c r="L1174" t="inlineStr"/>
      <c r="M1174" t="inlineStr"/>
      <c r="N1174" t="inlineStr"/>
      <c r="O1174" t="inlineStr"/>
      <c r="P1174" t="inlineStr"/>
      <c r="Q1174" t="inlineStr"/>
    </row>
    <row r="1175">
      <c r="A1175" t="inlineStr">
        <is>
          <t>rupam.v</t>
        </is>
      </c>
      <c r="B1175" t="inlineStr">
        <is>
          <t>Rupam Vallecha</t>
        </is>
      </c>
      <c r="C1175" t="inlineStr">
        <is>
          <t>rupam.v@osmosys.co</t>
        </is>
      </c>
      <c r="D1175" t="inlineStr">
        <is>
          <t>incident-reporter</t>
        </is>
      </c>
      <c r="E1175">
        <f>HYPERLINK("http://gitlab.osmosys.co/incident-reporter/incident-reporter-angular-portal", "OQSHA Portal")</f>
        <v/>
      </c>
      <c r="F1175">
        <f>HYPERLINK("http://gitlab.osmosys.co/incident-reporter/incident-reporter-angular-portal/-/merge_requests/3698", "feat: add associated job types functionality in ptw")</f>
        <v/>
      </c>
      <c r="G1175" t="inlineStr">
        <is>
          <t>feat/associate-night-work</t>
        </is>
      </c>
      <c r="H1175" t="inlineStr">
        <is>
          <t>sprint-19</t>
        </is>
      </c>
      <c r="I1175" t="inlineStr">
        <is>
          <t>opened</t>
        </is>
      </c>
      <c r="J1175" t="inlineStr">
        <is>
          <t>6656853eb46951e85b1a76743259f109553d8f72</t>
        </is>
      </c>
      <c r="K1175">
        <f>HYPERLINK("http://gitlab.osmosys.co/incident-reporter/incident-reporter-angular-portal/-/merge_requests/3698#note_246785", "Pipeline is failing")</f>
        <v/>
      </c>
      <c r="L1175" t="inlineStr">
        <is>
          <t>2025-08-03 12:45:11.110 IST</t>
        </is>
      </c>
      <c r="M1175" t="inlineStr">
        <is>
          <t>Soundariya B</t>
        </is>
      </c>
      <c r="N1175" t="inlineStr">
        <is>
          <t>Yes</t>
        </is>
      </c>
      <c r="O1175" t="inlineStr">
        <is>
          <t>No</t>
        </is>
      </c>
      <c r="P1175" t="inlineStr"/>
      <c r="Q1175" t="inlineStr">
        <is>
          <t>Bad</t>
        </is>
      </c>
    </row>
    <row r="1176">
      <c r="A1176" t="inlineStr">
        <is>
          <t>rupam.v</t>
        </is>
      </c>
      <c r="B1176" t="inlineStr">
        <is>
          <t>Rupam Vallecha</t>
        </is>
      </c>
      <c r="C1176" t="inlineStr">
        <is>
          <t>rupam.v@osmosys.co</t>
        </is>
      </c>
      <c r="D1176" t="inlineStr">
        <is>
          <t>incident-reporter</t>
        </is>
      </c>
      <c r="E1176">
        <f>HYPERLINK("http://gitlab.osmosys.co/incident-reporter/incident-reporter-angular-portal", "OQSHA Portal")</f>
        <v/>
      </c>
      <c r="F1176">
        <f>HYPERLINK("http://gitlab.osmosys.co/incident-reporter/incident-reporter-angular-portal/-/merge_requests/3698", "feat: add associated job types functionality in ptw")</f>
        <v/>
      </c>
      <c r="G1176" t="inlineStr">
        <is>
          <t>feat/associate-night-work</t>
        </is>
      </c>
      <c r="H1176" t="inlineStr">
        <is>
          <t>sprint-19</t>
        </is>
      </c>
      <c r="I1176" t="inlineStr">
        <is>
          <t>opened</t>
        </is>
      </c>
      <c r="J1176" t="inlineStr">
        <is>
          <t>6656853eb46951e85b1a76743259f109553d8f72</t>
        </is>
      </c>
      <c r="K1176">
        <f>HYPERLINK("http://gitlab.osmosys.co/incident-reporter/incident-reporter-angular-portal/-/merge_requests/3698#note_246790", "its not")</f>
        <v/>
      </c>
      <c r="L1176" t="inlineStr">
        <is>
          <t>2025-08-03 12:48:13.803 IST</t>
        </is>
      </c>
      <c r="M1176" t="inlineStr">
        <is>
          <t>Rupam Vallecha</t>
        </is>
      </c>
      <c r="N1176" t="inlineStr">
        <is>
          <t>No</t>
        </is>
      </c>
      <c r="O1176" t="inlineStr">
        <is>
          <t>No</t>
        </is>
      </c>
      <c r="P1176" t="inlineStr"/>
      <c r="Q1176" t="inlineStr">
        <is>
          <t>Bad</t>
        </is>
      </c>
    </row>
    <row r="1177">
      <c r="A1177" t="inlineStr">
        <is>
          <t>rupam.v</t>
        </is>
      </c>
      <c r="B1177" t="inlineStr">
        <is>
          <t>Rupam Vallecha</t>
        </is>
      </c>
      <c r="C1177" t="inlineStr">
        <is>
          <t>rupam.v@osmosys.co</t>
        </is>
      </c>
      <c r="D1177" t="inlineStr">
        <is>
          <t>incident-reporter</t>
        </is>
      </c>
      <c r="E1177">
        <f>HYPERLINK("http://gitlab.osmosys.co/incident-reporter/incident-reporter-angular-portal", "OQSHA Portal")</f>
        <v/>
      </c>
      <c r="F1177">
        <f>HYPERLINK("http://gitlab.osmosys.co/incident-reporter/incident-reporter-angular-portal/-/merge_requests/3698", "feat: add associated job types functionality in ptw")</f>
        <v/>
      </c>
      <c r="G1177" t="inlineStr">
        <is>
          <t>feat/associate-night-work</t>
        </is>
      </c>
      <c r="H1177" t="inlineStr">
        <is>
          <t>sprint-19</t>
        </is>
      </c>
      <c r="I1177" t="inlineStr">
        <is>
          <t>opened</t>
        </is>
      </c>
      <c r="J1177" t="inlineStr">
        <is>
          <t>fcac08b5875230381e5b80de7d504d12d97dba9c</t>
        </is>
      </c>
      <c r="K1177">
        <f>HYPERLINK("http://gitlab.osmosys.co/incident-reporter/incident-reporter-angular-portal/-/merge_requests/3698#note_246786", "Here this ngIf is not required as because we already added in main div container")</f>
        <v/>
      </c>
      <c r="L1177" t="inlineStr">
        <is>
          <t>2025-08-03 12:45:11.211 IST</t>
        </is>
      </c>
      <c r="M1177" t="inlineStr">
        <is>
          <t>Soundariya B</t>
        </is>
      </c>
      <c r="N1177" t="inlineStr">
        <is>
          <t>Yes</t>
        </is>
      </c>
      <c r="O1177" t="inlineStr">
        <is>
          <t>No</t>
        </is>
      </c>
      <c r="P1177" t="inlineStr"/>
      <c r="Q1177" t="inlineStr">
        <is>
          <t>Bad</t>
        </is>
      </c>
    </row>
    <row r="1178">
      <c r="A1178" t="inlineStr">
        <is>
          <t>rupam.v</t>
        </is>
      </c>
      <c r="B1178" t="inlineStr">
        <is>
          <t>Rupam Vallecha</t>
        </is>
      </c>
      <c r="C1178" t="inlineStr">
        <is>
          <t>rupam.v@osmosys.co</t>
        </is>
      </c>
      <c r="D1178" t="inlineStr">
        <is>
          <t>incident-reporter</t>
        </is>
      </c>
      <c r="E1178">
        <f>HYPERLINK("http://gitlab.osmosys.co/incident-reporter/incident-reporter-angular-portal", "OQSHA Portal")</f>
        <v/>
      </c>
      <c r="F1178">
        <f>HYPERLINK("http://gitlab.osmosys.co/incident-reporter/incident-reporter-angular-portal/-/merge_requests/3698", "feat: add associated job types functionality in ptw")</f>
        <v/>
      </c>
      <c r="G1178" t="inlineStr">
        <is>
          <t>feat/associate-night-work</t>
        </is>
      </c>
      <c r="H1178" t="inlineStr">
        <is>
          <t>sprint-19</t>
        </is>
      </c>
      <c r="I1178" t="inlineStr">
        <is>
          <t>opened</t>
        </is>
      </c>
      <c r="J1178" t="inlineStr">
        <is>
          <t>764d7091250adeca7de50a48efcdd19b1df93c37</t>
        </is>
      </c>
      <c r="K1178">
        <f>HYPERLINK("http://gitlab.osmosys.co/incident-reporter/incident-reporter-angular-portal/-/merge_requests/3698#note_246787", "Property name can't be taken from constant as it will change anytime so api property name can be use directly")</f>
        <v/>
      </c>
      <c r="L1178" t="inlineStr">
        <is>
          <t>2025-08-03 12:45:11.352 IST</t>
        </is>
      </c>
      <c r="M1178" t="inlineStr">
        <is>
          <t>Soundariya B</t>
        </is>
      </c>
      <c r="N1178" t="inlineStr">
        <is>
          <t>Yes</t>
        </is>
      </c>
      <c r="O1178" t="inlineStr">
        <is>
          <t>No</t>
        </is>
      </c>
      <c r="P1178" t="inlineStr"/>
      <c r="Q1178" t="inlineStr">
        <is>
          <t>Bad</t>
        </is>
      </c>
    </row>
    <row r="1179">
      <c r="A1179" t="inlineStr">
        <is>
          <t>rupam.v</t>
        </is>
      </c>
      <c r="B1179" t="inlineStr">
        <is>
          <t>Rupam Vallecha</t>
        </is>
      </c>
      <c r="C1179" t="inlineStr">
        <is>
          <t>rupam.v@osmosys.co</t>
        </is>
      </c>
      <c r="D1179" t="inlineStr">
        <is>
          <t>incident-reporter</t>
        </is>
      </c>
      <c r="E1179">
        <f>HYPERLINK("http://gitlab.osmosys.co/incident-reporter/incident-reporter-angular-portal", "OQSHA Portal")</f>
        <v/>
      </c>
      <c r="F1179">
        <f>HYPERLINK("http://gitlab.osmosys.co/incident-reporter/incident-reporter-angular-portal/-/merge_requests/3698", "feat: add associated job types functionality in ptw")</f>
        <v/>
      </c>
      <c r="G1179" t="inlineStr">
        <is>
          <t>feat/associate-night-work</t>
        </is>
      </c>
      <c r="H1179" t="inlineStr">
        <is>
          <t>sprint-19</t>
        </is>
      </c>
      <c r="I1179" t="inlineStr">
        <is>
          <t>opened</t>
        </is>
      </c>
      <c r="J1179" t="inlineStr">
        <is>
          <t>764d7091250adeca7de50a48efcdd19b1df93c37</t>
        </is>
      </c>
      <c r="K1179">
        <f>HYPERLINK("http://gitlab.osmosys.co/incident-reporter/incident-reporter-angular-portal/-/merge_requests/3698#note_246800", "But these are not the names that come from api response")</f>
        <v/>
      </c>
      <c r="L1179" t="inlineStr">
        <is>
          <t>2025-08-03 12:54:22.830 IST</t>
        </is>
      </c>
      <c r="M1179" t="inlineStr">
        <is>
          <t>Rupam Vallecha</t>
        </is>
      </c>
      <c r="N1179" t="inlineStr">
        <is>
          <t>No</t>
        </is>
      </c>
      <c r="O1179" t="inlineStr">
        <is>
          <t>No</t>
        </is>
      </c>
      <c r="P1179" t="inlineStr"/>
      <c r="Q1179" t="inlineStr">
        <is>
          <t>Bad</t>
        </is>
      </c>
    </row>
    <row r="1180">
      <c r="A1180" t="inlineStr">
        <is>
          <t>rupam.v</t>
        </is>
      </c>
      <c r="B1180" t="inlineStr">
        <is>
          <t>Rupam Vallecha</t>
        </is>
      </c>
      <c r="C1180" t="inlineStr">
        <is>
          <t>rupam.v@osmosys.co</t>
        </is>
      </c>
      <c r="D1180" t="inlineStr">
        <is>
          <t>incident-reporter</t>
        </is>
      </c>
      <c r="E1180">
        <f>HYPERLINK("http://gitlab.osmosys.co/incident-reporter/incident-reporter-angular-portal", "OQSHA Portal")</f>
        <v/>
      </c>
      <c r="F1180">
        <f>HYPERLINK("http://gitlab.osmosys.co/incident-reporter/incident-reporter-angular-portal/-/merge_requests/3672", "feat: enhance approver handling and ui updates for moc")</f>
        <v/>
      </c>
      <c r="G1180" t="inlineStr">
        <is>
          <t>feat/remove-moc-sign</t>
        </is>
      </c>
      <c r="H1180" t="inlineStr">
        <is>
          <t>sprint-19</t>
        </is>
      </c>
      <c r="I1180" t="inlineStr">
        <is>
          <t>opened</t>
        </is>
      </c>
      <c r="J1180" t="inlineStr">
        <is>
          <t>b4272247a9941681693300254f96ef6adbe542d0</t>
        </is>
      </c>
      <c r="K1180">
        <f>HYPERLINK("http://gitlab.osmosys.co/incident-reporter/incident-reporter-angular-portal/-/merge_requests/3672#note_245344", "No screen recording and test cases - please attach it")</f>
        <v/>
      </c>
      <c r="L1180" t="inlineStr">
        <is>
          <t>2025-08-01 13:51:05.528 IST</t>
        </is>
      </c>
      <c r="M1180" t="inlineStr">
        <is>
          <t>Soundariya B</t>
        </is>
      </c>
      <c r="N1180" t="inlineStr">
        <is>
          <t>Yes</t>
        </is>
      </c>
      <c r="O1180" t="inlineStr">
        <is>
          <t>No</t>
        </is>
      </c>
      <c r="P1180" t="inlineStr"/>
      <c r="Q1180" t="inlineStr">
        <is>
          <t>Bad</t>
        </is>
      </c>
    </row>
    <row r="1181">
      <c r="A1181" t="inlineStr">
        <is>
          <t>rupam.v</t>
        </is>
      </c>
      <c r="B1181" t="inlineStr">
        <is>
          <t>Rupam Vallecha</t>
        </is>
      </c>
      <c r="C1181" t="inlineStr">
        <is>
          <t>rupam.v@osmosys.co</t>
        </is>
      </c>
      <c r="D1181" t="inlineStr">
        <is>
          <t>incident-reporter</t>
        </is>
      </c>
      <c r="E1181">
        <f>HYPERLINK("http://gitlab.osmosys.co/incident-reporter/incident-reporter-angular-portal", "OQSHA Portal")</f>
        <v/>
      </c>
      <c r="F1181">
        <f>HYPERLINK("http://gitlab.osmosys.co/incident-reporter/incident-reporter-angular-portal/-/merge_requests/3672", "feat: enhance approver handling and ui updates for moc")</f>
        <v/>
      </c>
      <c r="G1181" t="inlineStr">
        <is>
          <t>feat/remove-moc-sign</t>
        </is>
      </c>
      <c r="H1181" t="inlineStr">
        <is>
          <t>sprint-19</t>
        </is>
      </c>
      <c r="I1181" t="inlineStr">
        <is>
          <t>opened</t>
        </is>
      </c>
      <c r="J1181" t="inlineStr">
        <is>
          <t>b4272247a9941681693300254f96ef6adbe542d0</t>
        </is>
      </c>
      <c r="K1181">
        <f>HYPERLINK("http://gitlab.osmosys.co/incident-reporter/incident-reporter-angular-portal/-/merge_requests/3672#note_245627", "Same flow as before, just removed signature cards and displayed here in approvers.")</f>
        <v/>
      </c>
      <c r="L1181" t="inlineStr">
        <is>
          <t>2025-08-01 17:03:37.764 IST</t>
        </is>
      </c>
      <c r="M1181" t="inlineStr">
        <is>
          <t>Rupam Vallecha</t>
        </is>
      </c>
      <c r="N1181" t="inlineStr">
        <is>
          <t>No</t>
        </is>
      </c>
      <c r="O1181" t="inlineStr">
        <is>
          <t>No</t>
        </is>
      </c>
      <c r="P1181" t="inlineStr"/>
      <c r="Q1181" t="inlineStr">
        <is>
          <t>Bad</t>
        </is>
      </c>
    </row>
    <row r="1182">
      <c r="A1182" t="inlineStr">
        <is>
          <t>rupam.v</t>
        </is>
      </c>
      <c r="B1182" t="inlineStr">
        <is>
          <t>Rupam Vallecha</t>
        </is>
      </c>
      <c r="C1182" t="inlineStr">
        <is>
          <t>rupam.v@osmosys.co</t>
        </is>
      </c>
      <c r="D1182" t="inlineStr">
        <is>
          <t>incident-reporter</t>
        </is>
      </c>
      <c r="E1182">
        <f>HYPERLINK("http://gitlab.osmosys.co/incident-reporter/incident-reporter-angular-portal", "OQSHA Portal")</f>
        <v/>
      </c>
      <c r="F1182">
        <f>HYPERLINK("http://gitlab.osmosys.co/incident-reporter/incident-reporter-angular-portal/-/merge_requests/3672", "feat: enhance approver handling and ui updates for moc")</f>
        <v/>
      </c>
      <c r="G1182" t="inlineStr">
        <is>
          <t>feat/remove-moc-sign</t>
        </is>
      </c>
      <c r="H1182" t="inlineStr">
        <is>
          <t>sprint-19</t>
        </is>
      </c>
      <c r="I1182" t="inlineStr">
        <is>
          <t>opened</t>
        </is>
      </c>
      <c r="J1182" t="inlineStr">
        <is>
          <t>cb2e4e9404175bce06b2eefb68cc1be91348b367</t>
        </is>
      </c>
      <c r="K1182">
        <f>HYPERLINK("http://gitlab.osmosys.co/incident-reporter/incident-reporter-angular-portal/-/merge_requests/3672#note_245345", "can you take this condition from TS file which will be better and can reduce the code redundancy")</f>
        <v/>
      </c>
      <c r="L1182" t="inlineStr">
        <is>
          <t>2025-08-01 13:51:05.608 IST</t>
        </is>
      </c>
      <c r="M1182" t="inlineStr">
        <is>
          <t>Soundariya B</t>
        </is>
      </c>
      <c r="N1182" t="inlineStr">
        <is>
          <t>Yes</t>
        </is>
      </c>
      <c r="O1182" t="inlineStr">
        <is>
          <t>No</t>
        </is>
      </c>
      <c r="P1182" t="inlineStr"/>
      <c r="Q1182" t="inlineStr">
        <is>
          <t>Bad</t>
        </is>
      </c>
    </row>
    <row r="1183">
      <c r="A1183" t="inlineStr">
        <is>
          <t>rupam.v</t>
        </is>
      </c>
      <c r="B1183" t="inlineStr">
        <is>
          <t>Rupam Vallecha</t>
        </is>
      </c>
      <c r="C1183" t="inlineStr">
        <is>
          <t>rupam.v@osmosys.co</t>
        </is>
      </c>
      <c r="D1183" t="inlineStr">
        <is>
          <t>incident-reporter</t>
        </is>
      </c>
      <c r="E1183">
        <f>HYPERLINK("http://gitlab.osmosys.co/incident-reporter/incident-reporter-angular-portal", "OQSHA Portal")</f>
        <v/>
      </c>
      <c r="F1183">
        <f>HYPERLINK("http://gitlab.osmosys.co/incident-reporter/incident-reporter-angular-portal/-/merge_requests/3672", "feat: enhance approver handling and ui updates for moc")</f>
        <v/>
      </c>
      <c r="G1183" t="inlineStr">
        <is>
          <t>feat/remove-moc-sign</t>
        </is>
      </c>
      <c r="H1183" t="inlineStr">
        <is>
          <t>sprint-19</t>
        </is>
      </c>
      <c r="I1183" t="inlineStr">
        <is>
          <t>opened</t>
        </is>
      </c>
      <c r="J1183" t="inlineStr">
        <is>
          <t>cb2e4e9404175bce06b2eefb68cc1be91348b367</t>
        </is>
      </c>
      <c r="K1183">
        <f>HYPERLINK("http://gitlab.osmosys.co/incident-reporter/incident-reporter-angular-portal/-/merge_requests/3672#note_245631", "Two things: 
First, its not redundancy, you might say repetition.
Second, No.")</f>
        <v/>
      </c>
      <c r="L1183" t="inlineStr">
        <is>
          <t>2025-08-01 17:05:56.277 IST</t>
        </is>
      </c>
      <c r="M1183" t="inlineStr">
        <is>
          <t>Rupam Vallecha</t>
        </is>
      </c>
      <c r="N1183" t="inlineStr">
        <is>
          <t>No</t>
        </is>
      </c>
      <c r="O1183" t="inlineStr">
        <is>
          <t>No</t>
        </is>
      </c>
      <c r="P1183" t="inlineStr"/>
      <c r="Q1183" t="inlineStr">
        <is>
          <t>Bad</t>
        </is>
      </c>
    </row>
    <row r="1184">
      <c r="A1184" t="inlineStr">
        <is>
          <t>rupam.v</t>
        </is>
      </c>
      <c r="B1184" t="inlineStr">
        <is>
          <t>Rupam Vallecha</t>
        </is>
      </c>
      <c r="C1184" t="inlineStr">
        <is>
          <t>rupam.v@osmosys.co</t>
        </is>
      </c>
      <c r="D1184" t="inlineStr">
        <is>
          <t>incident-reporter</t>
        </is>
      </c>
      <c r="E1184">
        <f>HYPERLINK("http://gitlab.osmosys.co/incident-reporter/incident-reporter-angular-portal", "OQSHA Portal")</f>
        <v/>
      </c>
      <c r="F1184">
        <f>HYPERLINK("http://gitlab.osmosys.co/incident-reporter/incident-reporter-angular-portal/-/merge_requests/3672", "feat: enhance approver handling and ui updates for moc")</f>
        <v/>
      </c>
      <c r="G1184" t="inlineStr">
        <is>
          <t>feat/remove-moc-sign</t>
        </is>
      </c>
      <c r="H1184" t="inlineStr">
        <is>
          <t>sprint-19</t>
        </is>
      </c>
      <c r="I1184" t="inlineStr">
        <is>
          <t>opened</t>
        </is>
      </c>
      <c r="J1184" t="inlineStr">
        <is>
          <t>9eb4aca1e019c286aaca9d28b544f1615ce1bff5</t>
        </is>
      </c>
      <c r="K1184">
        <f>HYPERLINK("http://gitlab.osmosys.co/incident-reporter/incident-reporter-angular-portal/-/merge_requests/3672#note_245346", "Can you get this approverLevel from common method and reuse it where it is required - approverLevel === constants.MOC_APPROVAL_LEVELS.LEVEL_2 ? constants.MOC_APPROVAL_LEVELS.LEVEL_2 : constants.MOC_APPROVAL_LEVELS.LEVEL_1
As I can see more than 1 place it is using")</f>
        <v/>
      </c>
      <c r="L1184" t="inlineStr">
        <is>
          <t>2025-08-01 13:51:05.704 IST</t>
        </is>
      </c>
      <c r="M1184" t="inlineStr">
        <is>
          <t>Soundariya B</t>
        </is>
      </c>
      <c r="N1184" t="inlineStr">
        <is>
          <t>Yes</t>
        </is>
      </c>
      <c r="O1184" t="inlineStr">
        <is>
          <t>No</t>
        </is>
      </c>
      <c r="P1184" t="inlineStr"/>
      <c r="Q1184" t="inlineStr">
        <is>
          <t>Bad</t>
        </is>
      </c>
    </row>
    <row r="1185">
      <c r="A1185" t="inlineStr">
        <is>
          <t>rupam.v</t>
        </is>
      </c>
      <c r="B1185" t="inlineStr">
        <is>
          <t>Rupam Vallecha</t>
        </is>
      </c>
      <c r="C1185" t="inlineStr">
        <is>
          <t>rupam.v@osmosys.co</t>
        </is>
      </c>
      <c r="D1185" t="inlineStr">
        <is>
          <t>incident-reporter</t>
        </is>
      </c>
      <c r="E1185">
        <f>HYPERLINK("http://gitlab.osmosys.co/incident-reporter/incident-reporter-angular-portal", "OQSHA Portal")</f>
        <v/>
      </c>
      <c r="F1185">
        <f>HYPERLINK("http://gitlab.osmosys.co/incident-reporter/incident-reporter-angular-portal/-/merge_requests/3672", "feat: enhance approver handling and ui updates for moc")</f>
        <v/>
      </c>
      <c r="G1185" t="inlineStr">
        <is>
          <t>feat/remove-moc-sign</t>
        </is>
      </c>
      <c r="H1185" t="inlineStr">
        <is>
          <t>sprint-19</t>
        </is>
      </c>
      <c r="I1185" t="inlineStr">
        <is>
          <t>opened</t>
        </is>
      </c>
      <c r="J1185" t="inlineStr">
        <is>
          <t>9eb4aca1e019c286aaca9d28b544f1615ce1bff5</t>
        </is>
      </c>
      <c r="K1185">
        <f>HYPERLINK("http://gitlab.osmosys.co/incident-reporter/incident-reporter-angular-portal/-/merge_requests/3672#note_245899", "done")</f>
        <v/>
      </c>
      <c r="L1185" t="inlineStr">
        <is>
          <t>2025-08-01 23:53:47.402 IST</t>
        </is>
      </c>
      <c r="M1185" t="inlineStr">
        <is>
          <t>Rupam Vallecha</t>
        </is>
      </c>
      <c r="N1185" t="inlineStr">
        <is>
          <t>No</t>
        </is>
      </c>
      <c r="O1185" t="inlineStr">
        <is>
          <t>No</t>
        </is>
      </c>
      <c r="P1185" t="inlineStr"/>
      <c r="Q1185" t="inlineStr">
        <is>
          <t>Bad</t>
        </is>
      </c>
    </row>
    <row r="1186">
      <c r="A1186" t="inlineStr">
        <is>
          <t>rupam.v</t>
        </is>
      </c>
      <c r="B1186" t="inlineStr">
        <is>
          <t>Rupam Vallecha</t>
        </is>
      </c>
      <c r="C1186" t="inlineStr">
        <is>
          <t>rupam.v@osmosys.co</t>
        </is>
      </c>
      <c r="D1186" t="inlineStr">
        <is>
          <t>incident-reporter</t>
        </is>
      </c>
      <c r="E1186">
        <f>HYPERLINK("http://gitlab.osmosys.co/incident-reporter/incident-reporter-angular-portal", "OQSHA Portal")</f>
        <v/>
      </c>
      <c r="F1186">
        <f>HYPERLINK("http://gitlab.osmosys.co/incident-reporter/incident-reporter-angular-portal/-/merge_requests/3672", "feat: enhance approver handling and ui updates for moc")</f>
        <v/>
      </c>
      <c r="G1186" t="inlineStr">
        <is>
          <t>feat/remove-moc-sign</t>
        </is>
      </c>
      <c r="H1186" t="inlineStr">
        <is>
          <t>sprint-19</t>
        </is>
      </c>
      <c r="I1186" t="inlineStr">
        <is>
          <t>opened</t>
        </is>
      </c>
      <c r="J1186" t="inlineStr">
        <is>
          <t>519ceffd9c2470d4bcb734b3ea2be0575fdc653b</t>
        </is>
      </c>
      <c r="K1186">
        <f>HYPERLINK("http://gitlab.osmosys.co/incident-reporter/incident-reporter-angular-portal/-/merge_requests/3672#note_245347", "Rename it - signatureRoleId")</f>
        <v/>
      </c>
      <c r="L1186" t="inlineStr">
        <is>
          <t>2025-08-01 13:51:05.762 IST</t>
        </is>
      </c>
      <c r="M1186" t="inlineStr">
        <is>
          <t>Soundariya B</t>
        </is>
      </c>
      <c r="N1186" t="inlineStr">
        <is>
          <t>Yes</t>
        </is>
      </c>
      <c r="O1186" t="inlineStr">
        <is>
          <t>No</t>
        </is>
      </c>
      <c r="P1186" t="inlineStr"/>
      <c r="Q1186" t="inlineStr">
        <is>
          <t>Bad</t>
        </is>
      </c>
    </row>
    <row r="1187">
      <c r="A1187" t="inlineStr">
        <is>
          <t>rupam.v</t>
        </is>
      </c>
      <c r="B1187" t="inlineStr">
        <is>
          <t>Rupam Vallecha</t>
        </is>
      </c>
      <c r="C1187" t="inlineStr">
        <is>
          <t>rupam.v@osmosys.co</t>
        </is>
      </c>
      <c r="D1187" t="inlineStr">
        <is>
          <t>incident-reporter</t>
        </is>
      </c>
      <c r="E1187">
        <f>HYPERLINK("http://gitlab.osmosys.co/incident-reporter/incident-reporter-angular-portal", "OQSHA Portal")</f>
        <v/>
      </c>
      <c r="F1187">
        <f>HYPERLINK("http://gitlab.osmosys.co/incident-reporter/incident-reporter-angular-portal/-/merge_requests/3672", "feat: enhance approver handling and ui updates for moc")</f>
        <v/>
      </c>
      <c r="G1187" t="inlineStr">
        <is>
          <t>feat/remove-moc-sign</t>
        </is>
      </c>
      <c r="H1187" t="inlineStr">
        <is>
          <t>sprint-19</t>
        </is>
      </c>
      <c r="I1187" t="inlineStr">
        <is>
          <t>opened</t>
        </is>
      </c>
      <c r="J1187" t="inlineStr">
        <is>
          <t>519ceffd9c2470d4bcb734b3ea2be0575fdc653b</t>
        </is>
      </c>
      <c r="K1187">
        <f>HYPERLINK("http://gitlab.osmosys.co/incident-reporter/incident-reporter-angular-portal/-/merge_requests/3672#note_245898", "no")</f>
        <v/>
      </c>
      <c r="L1187" t="inlineStr">
        <is>
          <t>2025-08-01 23:53:14.200 IST</t>
        </is>
      </c>
      <c r="M1187" t="inlineStr">
        <is>
          <t>Rupam Vallecha</t>
        </is>
      </c>
      <c r="N1187" t="inlineStr">
        <is>
          <t>No</t>
        </is>
      </c>
      <c r="O1187" t="inlineStr">
        <is>
          <t>No</t>
        </is>
      </c>
      <c r="P1187" t="inlineStr"/>
      <c r="Q1187" t="inlineStr">
        <is>
          <t>Bad</t>
        </is>
      </c>
    </row>
    <row r="1188">
      <c r="A1188" t="inlineStr">
        <is>
          <t>rupam.v</t>
        </is>
      </c>
      <c r="B1188" t="inlineStr">
        <is>
          <t>Rupam Vallecha</t>
        </is>
      </c>
      <c r="C1188" t="inlineStr">
        <is>
          <t>rupam.v@osmosys.co</t>
        </is>
      </c>
      <c r="D1188" t="inlineStr">
        <is>
          <t>incident-reporter</t>
        </is>
      </c>
      <c r="E1188">
        <f>HYPERLINK("http://gitlab.osmosys.co/incident-reporter/incident-reporter-angular-portal", "OQSHA Portal")</f>
        <v/>
      </c>
      <c r="F1188">
        <f>HYPERLINK("http://gitlab.osmosys.co/incident-reporter/incident-reporter-angular-portal/-/merge_requests/3672", "feat: enhance approver handling and ui updates for moc")</f>
        <v/>
      </c>
      <c r="G1188" t="inlineStr">
        <is>
          <t>feat/remove-moc-sign</t>
        </is>
      </c>
      <c r="H1188" t="inlineStr">
        <is>
          <t>sprint-19</t>
        </is>
      </c>
      <c r="I1188" t="inlineStr">
        <is>
          <t>opened</t>
        </is>
      </c>
      <c r="J1188" t="inlineStr">
        <is>
          <t>80a273035eeb6bf2d6b5187f93377c4330b1b68d</t>
        </is>
      </c>
      <c r="K1188">
        <f>HYPERLINK("http://gitlab.osmosys.co/incident-reporter/incident-reporter-angular-portal/-/merge_requests/3672#note_245348", "Why here taking first user? is this specifically? If yes then what is the reason?
Add comments to this function business logic so dev can understand easily")</f>
        <v/>
      </c>
      <c r="L1188" t="inlineStr">
        <is>
          <t>2025-08-01 13:51:05.812 IST</t>
        </is>
      </c>
      <c r="M1188" t="inlineStr">
        <is>
          <t>Soundariya B</t>
        </is>
      </c>
      <c r="N1188" t="inlineStr">
        <is>
          <t>Yes</t>
        </is>
      </c>
      <c r="O1188" t="inlineStr">
        <is>
          <t>No</t>
        </is>
      </c>
      <c r="P1188" t="inlineStr"/>
      <c r="Q1188" t="inlineStr">
        <is>
          <t>Neutral</t>
        </is>
      </c>
    </row>
    <row r="1189">
      <c r="A1189" t="inlineStr">
        <is>
          <t>rupam.v</t>
        </is>
      </c>
      <c r="B1189" t="inlineStr">
        <is>
          <t>Rupam Vallecha</t>
        </is>
      </c>
      <c r="C1189" t="inlineStr">
        <is>
          <t>rupam.v@osmosys.co</t>
        </is>
      </c>
      <c r="D1189" t="inlineStr">
        <is>
          <t>incident-reporter</t>
        </is>
      </c>
      <c r="E1189">
        <f>HYPERLINK("http://gitlab.osmosys.co/incident-reporter/incident-reporter-angular-portal", "OQSHA Portal")</f>
        <v/>
      </c>
      <c r="F1189">
        <f>HYPERLINK("http://gitlab.osmosys.co/incident-reporter/incident-reporter-angular-portal/-/merge_requests/3672", "feat: enhance approver handling and ui updates for moc")</f>
        <v/>
      </c>
      <c r="G1189" t="inlineStr">
        <is>
          <t>feat/remove-moc-sign</t>
        </is>
      </c>
      <c r="H1189" t="inlineStr">
        <is>
          <t>sprint-19</t>
        </is>
      </c>
      <c r="I1189" t="inlineStr">
        <is>
          <t>opened</t>
        </is>
      </c>
      <c r="J1189" t="inlineStr">
        <is>
          <t>80a273035eeb6bf2d6b5187f93377c4330b1b68d</t>
        </is>
      </c>
      <c r="K1189">
        <f>HYPERLINK("http://gitlab.osmosys.co/incident-reporter/incident-reporter-angular-portal/-/merge_requests/3672#note_245647", "Reason is requirement, i was told to do so.")</f>
        <v/>
      </c>
      <c r="L1189" t="inlineStr">
        <is>
          <t>2025-08-01 17:13:04.628 IST</t>
        </is>
      </c>
      <c r="M1189" t="inlineStr">
        <is>
          <t>Rupam Vallecha</t>
        </is>
      </c>
      <c r="N1189" t="inlineStr">
        <is>
          <t>No</t>
        </is>
      </c>
      <c r="O1189" t="inlineStr">
        <is>
          <t>No</t>
        </is>
      </c>
      <c r="P1189" t="inlineStr"/>
      <c r="Q1189" t="inlineStr">
        <is>
          <t>Neutral</t>
        </is>
      </c>
    </row>
    <row r="1190">
      <c r="A1190" t="inlineStr">
        <is>
          <t>rupam.v</t>
        </is>
      </c>
      <c r="B1190" t="inlineStr">
        <is>
          <t>Rupam Vallecha</t>
        </is>
      </c>
      <c r="C1190" t="inlineStr">
        <is>
          <t>rupam.v@osmosys.co</t>
        </is>
      </c>
      <c r="D1190" t="inlineStr">
        <is>
          <t>incident-reporter</t>
        </is>
      </c>
      <c r="E1190">
        <f>HYPERLINK("http://gitlab.osmosys.co/incident-reporter/incident-reporter-angular-portal", "OQSHA Portal")</f>
        <v/>
      </c>
      <c r="F1190">
        <f>HYPERLINK("http://gitlab.osmosys.co/incident-reporter/incident-reporter-angular-portal/-/merge_requests/3672", "feat: enhance approver handling and ui updates for moc")</f>
        <v/>
      </c>
      <c r="G1190" t="inlineStr">
        <is>
          <t>feat/remove-moc-sign</t>
        </is>
      </c>
      <c r="H1190" t="inlineStr">
        <is>
          <t>sprint-19</t>
        </is>
      </c>
      <c r="I1190" t="inlineStr">
        <is>
          <t>opened</t>
        </is>
      </c>
      <c r="J1190" t="inlineStr">
        <is>
          <t>28b669ff39aa6b112f9b876e907b58f5e6e097ce</t>
        </is>
      </c>
      <c r="K1190">
        <f>HYPERLINK("http://gitlab.osmosys.co/incident-reporter/incident-reporter-angular-portal/-/merge_requests/3672#note_245349", "Can you store this to anyone variable and use as here I can 3 places its using and its good practice to follow this - usersRes.Data.UsersData")</f>
        <v/>
      </c>
      <c r="L1190" t="inlineStr">
        <is>
          <t>2025-08-01 13:51:05.864 IST</t>
        </is>
      </c>
      <c r="M1190" t="inlineStr">
        <is>
          <t>Soundariya B</t>
        </is>
      </c>
      <c r="N1190" t="inlineStr">
        <is>
          <t>Yes</t>
        </is>
      </c>
      <c r="O1190" t="inlineStr">
        <is>
          <t>No</t>
        </is>
      </c>
      <c r="P1190" t="inlineStr"/>
      <c r="Q1190" t="inlineStr">
        <is>
          <t>Bad</t>
        </is>
      </c>
    </row>
    <row r="1191">
      <c r="A1191" t="inlineStr">
        <is>
          <t>rupam.v</t>
        </is>
      </c>
      <c r="B1191" t="inlineStr">
        <is>
          <t>Rupam Vallecha</t>
        </is>
      </c>
      <c r="C1191" t="inlineStr">
        <is>
          <t>rupam.v@osmosys.co</t>
        </is>
      </c>
      <c r="D1191" t="inlineStr">
        <is>
          <t>incident-reporter</t>
        </is>
      </c>
      <c r="E1191">
        <f>HYPERLINK("http://gitlab.osmosys.co/incident-reporter/incident-reporter-angular-portal", "OQSHA Portal")</f>
        <v/>
      </c>
      <c r="F1191">
        <f>HYPERLINK("http://gitlab.osmosys.co/incident-reporter/incident-reporter-angular-portal/-/merge_requests/3672", "feat: enhance approver handling and ui updates for moc")</f>
        <v/>
      </c>
      <c r="G1191" t="inlineStr">
        <is>
          <t>feat/remove-moc-sign</t>
        </is>
      </c>
      <c r="H1191" t="inlineStr">
        <is>
          <t>sprint-19</t>
        </is>
      </c>
      <c r="I1191" t="inlineStr">
        <is>
          <t>opened</t>
        </is>
      </c>
      <c r="J1191" t="inlineStr">
        <is>
          <t>28b669ff39aa6b112f9b876e907b58f5e6e097ce</t>
        </is>
      </c>
      <c r="K1191">
        <f>HYPERLINK("http://gitlab.osmosys.co/incident-reporter/incident-reporter-angular-portal/-/merge_requests/3672#note_245897", "done")</f>
        <v/>
      </c>
      <c r="L1191" t="inlineStr">
        <is>
          <t>2025-08-01 23:52:31.020 IST</t>
        </is>
      </c>
      <c r="M1191" t="inlineStr">
        <is>
          <t>Rupam Vallecha</t>
        </is>
      </c>
      <c r="N1191" t="inlineStr">
        <is>
          <t>No</t>
        </is>
      </c>
      <c r="O1191" t="inlineStr">
        <is>
          <t>No</t>
        </is>
      </c>
      <c r="P1191" t="inlineStr"/>
      <c r="Q1191" t="inlineStr">
        <is>
          <t>Bad</t>
        </is>
      </c>
    </row>
    <row r="1192">
      <c r="A1192" t="inlineStr">
        <is>
          <t>rupam.v</t>
        </is>
      </c>
      <c r="B1192" t="inlineStr">
        <is>
          <t>Rupam Vallecha</t>
        </is>
      </c>
      <c r="C1192" t="inlineStr">
        <is>
          <t>rupam.v@osmosys.co</t>
        </is>
      </c>
      <c r="D1192" t="inlineStr">
        <is>
          <t>incident-reporter</t>
        </is>
      </c>
      <c r="E1192">
        <f>HYPERLINK("http://gitlab.osmosys.co/incident-reporter/incident-reporter-angular-portal", "OQSHA Portal")</f>
        <v/>
      </c>
      <c r="F1192">
        <f>HYPERLINK("http://gitlab.osmosys.co/incident-reporter/incident-reporter-angular-portal/-/merge_requests/3671", "refactor: remove ptw association")</f>
        <v/>
      </c>
      <c r="G1192" t="inlineStr">
        <is>
          <t>feat/remove-ptw-association</t>
        </is>
      </c>
      <c r="H1192" t="inlineStr">
        <is>
          <t>sprint-19</t>
        </is>
      </c>
      <c r="I1192" t="inlineStr">
        <is>
          <t>merged</t>
        </is>
      </c>
      <c r="J1192" t="inlineStr">
        <is>
          <t>fbc5f4797e4bf6daa275cea118a4a14934c7a007</t>
        </is>
      </c>
      <c r="K1192">
        <f>HYPERLINK("http://gitlab.osmosys.co/incident-reporter/incident-reporter-angular-portal/-/merge_requests/3671#note_244692", "&gt; MyHome CR - Hide associated PTW) Portal - user details page - Hide Associated PTWs section
As per the task description saying hide so I am not raising the thread for remove commented code
CC: @rupam.v @RajKumar")</f>
        <v/>
      </c>
      <c r="L1192" t="inlineStr">
        <is>
          <t>2025-07-31 12:15:21.662 IST</t>
        </is>
      </c>
      <c r="M1192" t="inlineStr">
        <is>
          <t>Soundariya B</t>
        </is>
      </c>
      <c r="N1192" t="inlineStr">
        <is>
          <t>Yes</t>
        </is>
      </c>
      <c r="O1192" t="inlineStr">
        <is>
          <t>No</t>
        </is>
      </c>
      <c r="P1192" t="inlineStr"/>
      <c r="Q1192" t="inlineStr">
        <is>
          <t>Neutral</t>
        </is>
      </c>
    </row>
    <row r="1193">
      <c r="A1193" t="inlineStr">
        <is>
          <t>rupam.v</t>
        </is>
      </c>
      <c r="B1193" t="inlineStr">
        <is>
          <t>Rupam Vallecha</t>
        </is>
      </c>
      <c r="C1193" t="inlineStr">
        <is>
          <t>rupam.v@osmosys.co</t>
        </is>
      </c>
      <c r="D1193" t="inlineStr">
        <is>
          <t>incident-reporter</t>
        </is>
      </c>
      <c r="E1193">
        <f>HYPERLINK("http://gitlab.osmosys.co/incident-reporter/incident-reporter-angular-portal", "OQSHA Portal")</f>
        <v/>
      </c>
      <c r="F1193">
        <f>HYPERLINK("http://gitlab.osmosys.co/incident-reporter/incident-reporter-angular-portal/-/merge_requests/3671", "refactor: remove ptw association")</f>
        <v/>
      </c>
      <c r="G1193" t="inlineStr">
        <is>
          <t>feat/remove-ptw-association</t>
        </is>
      </c>
      <c r="H1193" t="inlineStr">
        <is>
          <t>sprint-19</t>
        </is>
      </c>
      <c r="I1193" t="inlineStr">
        <is>
          <t>merged</t>
        </is>
      </c>
      <c r="J1193" t="inlineStr">
        <is>
          <t>12e5190b82c9d94719801d6a60a8ee5ba9cd8d65</t>
        </is>
      </c>
      <c r="K1193">
        <f>HYPERLINK("http://gitlab.osmosys.co/incident-reporter/incident-reporter-angular-portal/-/merge_requests/3671#note_244694", "Lint pipeline is failing")</f>
        <v/>
      </c>
      <c r="L1193" t="inlineStr">
        <is>
          <t>2025-07-31 12:15:26.006 IST</t>
        </is>
      </c>
      <c r="M1193" t="inlineStr">
        <is>
          <t>Soundariya B</t>
        </is>
      </c>
      <c r="N1193" t="inlineStr">
        <is>
          <t>Yes</t>
        </is>
      </c>
      <c r="O1193" t="inlineStr">
        <is>
          <t>Yes</t>
        </is>
      </c>
      <c r="P1193" t="inlineStr">
        <is>
          <t>Soundariya B</t>
        </is>
      </c>
      <c r="Q1193" t="inlineStr">
        <is>
          <t>Bad</t>
        </is>
      </c>
    </row>
    <row r="1194">
      <c r="A1194" t="inlineStr">
        <is>
          <t>rupam.v</t>
        </is>
      </c>
      <c r="B1194" t="inlineStr">
        <is>
          <t>Rupam Vallecha</t>
        </is>
      </c>
      <c r="C1194" t="inlineStr">
        <is>
          <t>rupam.v@osmosys.co</t>
        </is>
      </c>
      <c r="D1194" t="inlineStr">
        <is>
          <t>incident-reporter</t>
        </is>
      </c>
      <c r="E1194">
        <f>HYPERLINK("http://gitlab.osmosys.co/incident-reporter/incident-reporter-angular-portal", "OQSHA Portal")</f>
        <v/>
      </c>
      <c r="F1194">
        <f>HYPERLINK("http://gitlab.osmosys.co/incident-reporter/incident-reporter-angular-portal/-/merge_requests/3671", "refactor: remove ptw association")</f>
        <v/>
      </c>
      <c r="G1194" t="inlineStr">
        <is>
          <t>feat/remove-ptw-association</t>
        </is>
      </c>
      <c r="H1194" t="inlineStr">
        <is>
          <t>sprint-19</t>
        </is>
      </c>
      <c r="I1194" t="inlineStr">
        <is>
          <t>merged</t>
        </is>
      </c>
      <c r="J1194" t="inlineStr">
        <is>
          <t>12e5190b82c9d94719801d6a60a8ee5ba9cd8d65</t>
        </is>
      </c>
      <c r="K1194">
        <f>HYPERLINK("http://gitlab.osmosys.co/incident-reporter/incident-reporter-angular-portal/-/merge_requests/3671#note_245040", "Pipeline issue, its fixed")</f>
        <v/>
      </c>
      <c r="L1194" t="inlineStr">
        <is>
          <t>2025-07-31 16:04:34.279 IST</t>
        </is>
      </c>
      <c r="M1194" t="inlineStr">
        <is>
          <t>Rupam Vallecha</t>
        </is>
      </c>
      <c r="N1194" t="inlineStr">
        <is>
          <t>No</t>
        </is>
      </c>
      <c r="O1194" t="inlineStr">
        <is>
          <t>Yes</t>
        </is>
      </c>
      <c r="P1194" t="inlineStr">
        <is>
          <t>Soundariya B</t>
        </is>
      </c>
      <c r="Q1194" t="inlineStr">
        <is>
          <t>Bad</t>
        </is>
      </c>
    </row>
    <row r="1195">
      <c r="A1195" t="inlineStr">
        <is>
          <t>rupam.v</t>
        </is>
      </c>
      <c r="B1195" t="inlineStr">
        <is>
          <t>Rupam Vallecha</t>
        </is>
      </c>
      <c r="C1195" t="inlineStr">
        <is>
          <t>rupam.v@osmosys.co</t>
        </is>
      </c>
      <c r="D1195" t="inlineStr">
        <is>
          <t>incident-reporter</t>
        </is>
      </c>
      <c r="E1195">
        <f>HYPERLINK("http://gitlab.osmosys.co/incident-reporter/incident-reporter-angular-portal", "OQSHA Portal")</f>
        <v/>
      </c>
      <c r="F1195">
        <f>HYPERLINK("http://gitlab.osmosys.co/incident-reporter/incident-reporter-angular-portal/-/merge_requests/3670", "refactor: remove work permits per company graph")</f>
        <v/>
      </c>
      <c r="G1195" t="inlineStr">
        <is>
          <t>feat/remove-ptw-company-graph</t>
        </is>
      </c>
      <c r="H1195" t="inlineStr">
        <is>
          <t>sprint-19</t>
        </is>
      </c>
      <c r="I1195" t="inlineStr">
        <is>
          <t>merged</t>
        </is>
      </c>
      <c r="J1195" t="inlineStr">
        <is>
          <t>8bdff5acbee8788d68bc83992ee34e56c0c55331</t>
        </is>
      </c>
      <c r="K1195">
        <f>HYPERLINK("http://gitlab.osmosys.co/incident-reporter/incident-reporter-angular-portal/-/merge_requests/3670#note_244679", "In the task, it's saying to remove - 'Portal - Remove "Work permits per company" graph. this feedback came from Myhome, so please remove it. Not just commented out")</f>
        <v/>
      </c>
      <c r="L1195" t="inlineStr">
        <is>
          <t>2025-07-31 11:41:17.279 IST</t>
        </is>
      </c>
      <c r="M1195" t="inlineStr">
        <is>
          <t>Soundariya B</t>
        </is>
      </c>
      <c r="N1195" t="inlineStr">
        <is>
          <t>Yes</t>
        </is>
      </c>
      <c r="O1195" t="inlineStr">
        <is>
          <t>Yes</t>
        </is>
      </c>
      <c r="P1195" t="inlineStr">
        <is>
          <t>Soundariya B</t>
        </is>
      </c>
      <c r="Q1195" t="inlineStr">
        <is>
          <t>Bad</t>
        </is>
      </c>
    </row>
    <row r="1196">
      <c r="A1196" t="inlineStr">
        <is>
          <t>rupam.v</t>
        </is>
      </c>
      <c r="B1196" t="inlineStr">
        <is>
          <t>Rupam Vallecha</t>
        </is>
      </c>
      <c r="C1196" t="inlineStr">
        <is>
          <t>rupam.v@osmosys.co</t>
        </is>
      </c>
      <c r="D1196" t="inlineStr">
        <is>
          <t>incident-reporter</t>
        </is>
      </c>
      <c r="E1196">
        <f>HYPERLINK("http://gitlab.osmosys.co/incident-reporter/incident-reporter-angular-portal", "OQSHA Portal")</f>
        <v/>
      </c>
      <c r="F1196">
        <f>HYPERLINK("http://gitlab.osmosys.co/incident-reporter/incident-reporter-angular-portal/-/merge_requests/3670", "refactor: remove work permits per company graph")</f>
        <v/>
      </c>
      <c r="G1196" t="inlineStr">
        <is>
          <t>feat/remove-ptw-company-graph</t>
        </is>
      </c>
      <c r="H1196" t="inlineStr">
        <is>
          <t>sprint-19</t>
        </is>
      </c>
      <c r="I1196" t="inlineStr">
        <is>
          <t>merged</t>
        </is>
      </c>
      <c r="J1196" t="inlineStr">
        <is>
          <t>8bdff5acbee8788d68bc83992ee34e56c0c55331</t>
        </is>
      </c>
      <c r="K1196">
        <f>HYPERLINK("http://gitlab.osmosys.co/incident-reporter/incident-reporter-angular-portal/-/merge_requests/3670#note_244717", "ok")</f>
        <v/>
      </c>
      <c r="L1196" t="inlineStr">
        <is>
          <t>2025-07-31 13:07:07.549 IST</t>
        </is>
      </c>
      <c r="M1196" t="inlineStr">
        <is>
          <t>Rupam Vallecha</t>
        </is>
      </c>
      <c r="N1196" t="inlineStr">
        <is>
          <t>No</t>
        </is>
      </c>
      <c r="O1196" t="inlineStr">
        <is>
          <t>Yes</t>
        </is>
      </c>
      <c r="P1196" t="inlineStr">
        <is>
          <t>Soundariya B</t>
        </is>
      </c>
      <c r="Q1196" t="inlineStr">
        <is>
          <t>Bad</t>
        </is>
      </c>
    </row>
    <row r="1197">
      <c r="A1197" t="inlineStr">
        <is>
          <t>rupam.v</t>
        </is>
      </c>
      <c r="B1197" t="inlineStr">
        <is>
          <t>Rupam Vallecha</t>
        </is>
      </c>
      <c r="C1197" t="inlineStr">
        <is>
          <t>rupam.v@osmosys.co</t>
        </is>
      </c>
      <c r="D1197" t="inlineStr">
        <is>
          <t>incident-reporter</t>
        </is>
      </c>
      <c r="E1197">
        <f>HYPERLINK("http://gitlab.osmosys.co/incident-reporter/incident-reporter-angular-portal", "OQSHA Portal")</f>
        <v/>
      </c>
      <c r="F1197">
        <f>HYPERLINK("http://gitlab.osmosys.co/incident-reporter/incident-reporter-angular-portal/-/merge_requests/3670", "refactor: remove work permits per company graph")</f>
        <v/>
      </c>
      <c r="G1197" t="inlineStr">
        <is>
          <t>feat/remove-ptw-company-graph</t>
        </is>
      </c>
      <c r="H1197" t="inlineStr">
        <is>
          <t>sprint-19</t>
        </is>
      </c>
      <c r="I1197" t="inlineStr">
        <is>
          <t>merged</t>
        </is>
      </c>
      <c r="J1197" t="inlineStr">
        <is>
          <t>74293b4188e9cc98ab608441b1e572d3719478c5</t>
        </is>
      </c>
      <c r="K1197">
        <f>HYPERLINK("http://gitlab.osmosys.co/incident-reporter/incident-reporter-angular-portal/-/merge_requests/3670#note_244742", "ptw for company graph related API won't call
Yes but it will call 2 times for both graph so can't you hide or remove ptwCompany call
So it will call 1 time and ideally it will be fine
![image.png](/uploads/97ef96a0bc2fd744aaa1fa85e11f483e/image.png)")</f>
        <v/>
      </c>
      <c r="L1197" t="inlineStr">
        <is>
          <t>2025-07-31 13:31:50.303 IST</t>
        </is>
      </c>
      <c r="M1197" t="inlineStr">
        <is>
          <t>Soundariya B</t>
        </is>
      </c>
      <c r="N1197" t="inlineStr">
        <is>
          <t>Yes</t>
        </is>
      </c>
      <c r="O1197" t="inlineStr">
        <is>
          <t>Yes</t>
        </is>
      </c>
      <c r="P1197" t="inlineStr">
        <is>
          <t>Soundariya B</t>
        </is>
      </c>
      <c r="Q1197" t="inlineStr">
        <is>
          <t>Neutral</t>
        </is>
      </c>
    </row>
    <row r="1198">
      <c r="A1198" t="inlineStr">
        <is>
          <t>rupam.v</t>
        </is>
      </c>
      <c r="B1198" t="inlineStr">
        <is>
          <t>Rupam Vallecha</t>
        </is>
      </c>
      <c r="C1198" t="inlineStr">
        <is>
          <t>rupam.v@osmosys.co</t>
        </is>
      </c>
      <c r="D1198" t="inlineStr">
        <is>
          <t>incident-reporter</t>
        </is>
      </c>
      <c r="E1198">
        <f>HYPERLINK("http://gitlab.osmosys.co/incident-reporter/incident-reporter-angular-portal", "OQSHA Portal")</f>
        <v/>
      </c>
      <c r="F1198">
        <f>HYPERLINK("http://gitlab.osmosys.co/incident-reporter/incident-reporter-angular-portal/-/merge_requests/3670", "refactor: remove work permits per company graph")</f>
        <v/>
      </c>
      <c r="G1198" t="inlineStr">
        <is>
          <t>feat/remove-ptw-company-graph</t>
        </is>
      </c>
      <c r="H1198" t="inlineStr">
        <is>
          <t>sprint-19</t>
        </is>
      </c>
      <c r="I1198" t="inlineStr">
        <is>
          <t>merged</t>
        </is>
      </c>
      <c r="J1198" t="inlineStr">
        <is>
          <t>74293b4188e9cc98ab608441b1e572d3719478c5</t>
        </is>
      </c>
      <c r="K1198">
        <f>HYPERLINK("http://gitlab.osmosys.co/incident-reporter/incident-reporter-angular-portal/-/merge_requests/3670#note_244914", "Data for both graphs come from same API which is not being called more than once.")</f>
        <v/>
      </c>
      <c r="L1198" t="inlineStr">
        <is>
          <t>2025-07-31 15:00:37.097 IST</t>
        </is>
      </c>
      <c r="M1198" t="inlineStr">
        <is>
          <t>Rupam Vallecha</t>
        </is>
      </c>
      <c r="N1198" t="inlineStr">
        <is>
          <t>No</t>
        </is>
      </c>
      <c r="O1198" t="inlineStr">
        <is>
          <t>Yes</t>
        </is>
      </c>
      <c r="P1198" t="inlineStr">
        <is>
          <t>Soundariya B</t>
        </is>
      </c>
      <c r="Q1198" t="inlineStr">
        <is>
          <t>Neutral</t>
        </is>
      </c>
    </row>
    <row r="1199">
      <c r="A1199" t="inlineStr">
        <is>
          <t>rupam.v</t>
        </is>
      </c>
      <c r="B1199" t="inlineStr">
        <is>
          <t>Rupam Vallecha</t>
        </is>
      </c>
      <c r="C1199" t="inlineStr">
        <is>
          <t>rupam.v@osmosys.co</t>
        </is>
      </c>
      <c r="D1199" t="inlineStr">
        <is>
          <t>incident-reporter</t>
        </is>
      </c>
      <c r="E1199">
        <f>HYPERLINK("http://gitlab.osmosys.co/incident-reporter/incident-reporter-angular-portal", "OQSHA Portal")</f>
        <v/>
      </c>
      <c r="F1199">
        <f>HYPERLINK("http://gitlab.osmosys.co/incident-reporter/incident-reporter-angular-portal/-/merge_requests/3670", "refactor: remove work permits per company graph")</f>
        <v/>
      </c>
      <c r="G1199" t="inlineStr">
        <is>
          <t>feat/remove-ptw-company-graph</t>
        </is>
      </c>
      <c r="H1199" t="inlineStr">
        <is>
          <t>sprint-19</t>
        </is>
      </c>
      <c r="I1199" t="inlineStr">
        <is>
          <t>merged</t>
        </is>
      </c>
      <c r="J1199" t="inlineStr">
        <is>
          <t>74293b4188e9cc98ab608441b1e572d3719478c5</t>
        </is>
      </c>
      <c r="K1199">
        <f>HYPERLINK("http://gitlab.osmosys.co/incident-reporter/incident-reporter-angular-portal/-/merge_requests/3670#note_245037", "Work permit per day and work permit per company both graphs data is coming from 1 api and it is calling only 1 time after removed the work permit per company graph then its fine")</f>
        <v/>
      </c>
      <c r="L1199" t="inlineStr">
        <is>
          <t>2025-07-31 16:03:13.847 IST</t>
        </is>
      </c>
      <c r="M1199" t="inlineStr">
        <is>
          <t>Soundariya B</t>
        </is>
      </c>
      <c r="N1199" t="inlineStr">
        <is>
          <t>Yes</t>
        </is>
      </c>
      <c r="O1199" t="inlineStr">
        <is>
          <t>Yes</t>
        </is>
      </c>
      <c r="P1199" t="inlineStr">
        <is>
          <t>Soundariya B</t>
        </is>
      </c>
      <c r="Q1199" t="inlineStr">
        <is>
          <t>Neutral</t>
        </is>
      </c>
    </row>
    <row r="1200">
      <c r="A1200" t="inlineStr">
        <is>
          <t>rupam.v</t>
        </is>
      </c>
      <c r="B1200" t="inlineStr">
        <is>
          <t>Rupam Vallecha</t>
        </is>
      </c>
      <c r="C1200" t="inlineStr">
        <is>
          <t>rupam.v@osmosys.co</t>
        </is>
      </c>
      <c r="D1200" t="inlineStr">
        <is>
          <t>incident-reporter</t>
        </is>
      </c>
      <c r="E1200">
        <f>HYPERLINK("http://gitlab.osmosys.co/incident-reporter/incident-reporter-angular-portal", "OQSHA Portal")</f>
        <v/>
      </c>
      <c r="F1200">
        <f>HYPERLINK("http://gitlab.osmosys.co/incident-reporter/incident-reporter-angular-portal/-/merge_requests/3623", "feat: auto fill incidents field")</f>
        <v/>
      </c>
      <c r="G1200" t="inlineStr">
        <is>
          <t>fix/reported-by-site-access</t>
        </is>
      </c>
      <c r="H1200" t="inlineStr">
        <is>
          <t>sprint-18</t>
        </is>
      </c>
      <c r="I1200" t="inlineStr">
        <is>
          <t>merged</t>
        </is>
      </c>
      <c r="J1200" t="inlineStr"/>
      <c r="K1200" t="inlineStr"/>
      <c r="L1200" t="inlineStr"/>
      <c r="M1200" t="inlineStr"/>
      <c r="N1200" t="inlineStr"/>
      <c r="O1200" t="inlineStr"/>
      <c r="P1200" t="inlineStr"/>
      <c r="Q1200" t="inlineStr"/>
    </row>
    <row r="1201">
      <c r="A1201" t="inlineStr">
        <is>
          <t>rupam.v</t>
        </is>
      </c>
      <c r="B1201" t="inlineStr">
        <is>
          <t>Rupam Vallecha</t>
        </is>
      </c>
      <c r="C1201" t="inlineStr">
        <is>
          <t>rupam.v@osmosys.co</t>
        </is>
      </c>
      <c r="D1201" t="inlineStr">
        <is>
          <t>incident-reporter</t>
        </is>
      </c>
      <c r="E1201">
        <f>HYPERLINK("http://gitlab.osmosys.co/incident-reporter/incident-reporter-angular-portal", "OQSHA Portal")</f>
        <v/>
      </c>
      <c r="F1201">
        <f>HYPERLINK("http://gitlab.osmosys.co/incident-reporter/incident-reporter-angular-portal/-/merge_requests/3601", "feat: group incident attachments")</f>
        <v/>
      </c>
      <c r="G1201" t="inlineStr">
        <is>
          <t>feat/group-incident-attachments</t>
        </is>
      </c>
      <c r="H1201" t="inlineStr">
        <is>
          <t>sprint-18</t>
        </is>
      </c>
      <c r="I1201" t="inlineStr">
        <is>
          <t>merged</t>
        </is>
      </c>
      <c r="J1201" t="inlineStr"/>
      <c r="K1201" t="inlineStr"/>
      <c r="L1201" t="inlineStr"/>
      <c r="M1201" t="inlineStr"/>
      <c r="N1201" t="inlineStr"/>
      <c r="O1201" t="inlineStr"/>
      <c r="P1201" t="inlineStr"/>
      <c r="Q1201" t="inlineStr"/>
    </row>
    <row r="1202">
      <c r="A1202" t="inlineStr">
        <is>
          <t>rupam.v</t>
        </is>
      </c>
      <c r="B1202" t="inlineStr">
        <is>
          <t>Rupam Vallecha</t>
        </is>
      </c>
      <c r="C1202" t="inlineStr">
        <is>
          <t>rupam.v@osmosys.co</t>
        </is>
      </c>
      <c r="D1202" t="inlineStr">
        <is>
          <t>incident-reporter</t>
        </is>
      </c>
      <c r="E1202">
        <f>HYPERLINK("http://gitlab.osmosys.co/incident-reporter/incident-reporter-angular-portal", "OQSHA Portal")</f>
        <v/>
      </c>
      <c r="F1202">
        <f>HYPERLINK("http://gitlab.osmosys.co/incident-reporter/incident-reporter-angular-portal/-/merge_requests/3593", "refactor: optimize filter change handling and update column mapping")</f>
        <v/>
      </c>
      <c r="G1202" t="inlineStr">
        <is>
          <t>fix/tickets-grid</t>
        </is>
      </c>
      <c r="H1202" t="inlineStr">
        <is>
          <t>sprint-17</t>
        </is>
      </c>
      <c r="I1202" t="inlineStr">
        <is>
          <t>merged</t>
        </is>
      </c>
      <c r="J1202" t="inlineStr">
        <is>
          <t>095070eea40cdbb3749343b5eb8e3576eadfbf94</t>
        </is>
      </c>
      <c r="K1202">
        <f>HYPERLINK("http://gitlab.osmosys.co/incident-reporter/incident-reporter-angular-portal/-/merge_requests/3593#note_241855", "These are conditional right, they may not be there for all organisations. You will have to add them based on the flag.")</f>
        <v/>
      </c>
      <c r="L1202" t="inlineStr">
        <is>
          <t>2025-07-25 15:52:49.825 IST</t>
        </is>
      </c>
      <c r="M1202" t="inlineStr">
        <is>
          <t>Raj Kumar</t>
        </is>
      </c>
      <c r="N1202" t="inlineStr">
        <is>
          <t>Yes</t>
        </is>
      </c>
      <c r="O1202" t="inlineStr">
        <is>
          <t>Yes</t>
        </is>
      </c>
      <c r="P1202" t="inlineStr">
        <is>
          <t>Raj Kumar</t>
        </is>
      </c>
      <c r="Q1202" t="inlineStr">
        <is>
          <t>Neutral</t>
        </is>
      </c>
    </row>
    <row r="1203">
      <c r="A1203" t="inlineStr">
        <is>
          <t>rupam.v</t>
        </is>
      </c>
      <c r="B1203" t="inlineStr">
        <is>
          <t>Rupam Vallecha</t>
        </is>
      </c>
      <c r="C1203" t="inlineStr">
        <is>
          <t>rupam.v@osmosys.co</t>
        </is>
      </c>
      <c r="D1203" t="inlineStr">
        <is>
          <t>incident-reporter</t>
        </is>
      </c>
      <c r="E1203">
        <f>HYPERLINK("http://gitlab.osmosys.co/incident-reporter/incident-reporter-angular-portal", "OQSHA Portal")</f>
        <v/>
      </c>
      <c r="F1203">
        <f>HYPERLINK("http://gitlab.osmosys.co/incident-reporter/incident-reporter-angular-portal/-/merge_requests/3593", "refactor: optimize filter change handling and update column mapping")</f>
        <v/>
      </c>
      <c r="G1203" t="inlineStr">
        <is>
          <t>fix/tickets-grid</t>
        </is>
      </c>
      <c r="H1203" t="inlineStr">
        <is>
          <t>sprint-17</t>
        </is>
      </c>
      <c r="I1203" t="inlineStr">
        <is>
          <t>merged</t>
        </is>
      </c>
      <c r="J1203" t="inlineStr">
        <is>
          <t>095070eea40cdbb3749343b5eb8e3576eadfbf94</t>
        </is>
      </c>
      <c r="K1203">
        <f>HYPERLINK("http://gitlab.osmosys.co/incident-reporter/incident-reporter-angular-portal/-/merge_requests/3593#note_241882", "yes i checked, for my home it wasnt there for aparna it is ,also checked if correct names are going in payload for sorting, its fine")</f>
        <v/>
      </c>
      <c r="L1203" t="inlineStr">
        <is>
          <t>2025-07-25 16:12:29.682 IST</t>
        </is>
      </c>
      <c r="M1203" t="inlineStr">
        <is>
          <t>Rupam Vallecha</t>
        </is>
      </c>
      <c r="N1203" t="inlineStr">
        <is>
          <t>No</t>
        </is>
      </c>
      <c r="O1203" t="inlineStr">
        <is>
          <t>Yes</t>
        </is>
      </c>
      <c r="P1203" t="inlineStr">
        <is>
          <t>Raj Kumar</t>
        </is>
      </c>
      <c r="Q1203" t="inlineStr">
        <is>
          <t>Neutral</t>
        </is>
      </c>
    </row>
    <row r="1204">
      <c r="A1204" t="inlineStr">
        <is>
          <t>rupam.v</t>
        </is>
      </c>
      <c r="B1204" t="inlineStr">
        <is>
          <t>Rupam Vallecha</t>
        </is>
      </c>
      <c r="C1204" t="inlineStr">
        <is>
          <t>rupam.v@osmosys.co</t>
        </is>
      </c>
      <c r="D1204" t="inlineStr">
        <is>
          <t>incident-reporter</t>
        </is>
      </c>
      <c r="E1204">
        <f>HYPERLINK("http://gitlab.osmosys.co/incident-reporter/incident-reporter-angular-portal", "OQSHA Portal")</f>
        <v/>
      </c>
      <c r="F1204">
        <f>HYPERLINK("http://gitlab.osmosys.co/incident-reporter/incident-reporter-angular-portal/-/merge_requests/3593", "refactor: optimize filter change handling and update column mapping")</f>
        <v/>
      </c>
      <c r="G1204" t="inlineStr">
        <is>
          <t>fix/tickets-grid</t>
        </is>
      </c>
      <c r="H1204" t="inlineStr">
        <is>
          <t>sprint-17</t>
        </is>
      </c>
      <c r="I1204" t="inlineStr">
        <is>
          <t>merged</t>
        </is>
      </c>
      <c r="J1204" t="inlineStr">
        <is>
          <t>80d9858d37ff71a671ca3a63aaeed81248b865df</t>
        </is>
      </c>
      <c r="K1204">
        <f>HYPERLINK("http://gitlab.osmosys.co/incident-reporter/incident-reporter-angular-portal/-/merge_requests/3593#note_241856", "Are you sure that all this css is not required?")</f>
        <v/>
      </c>
      <c r="L1204" t="inlineStr">
        <is>
          <t>2025-07-25 15:53:25.375 IST</t>
        </is>
      </c>
      <c r="M1204" t="inlineStr">
        <is>
          <t>Raj Kumar</t>
        </is>
      </c>
      <c r="N1204" t="inlineStr">
        <is>
          <t>Yes</t>
        </is>
      </c>
      <c r="O1204" t="inlineStr">
        <is>
          <t>Yes</t>
        </is>
      </c>
      <c r="P1204" t="inlineStr">
        <is>
          <t>Raj Kumar</t>
        </is>
      </c>
      <c r="Q1204" t="inlineStr">
        <is>
          <t>Neutral</t>
        </is>
      </c>
    </row>
    <row r="1205">
      <c r="A1205" t="inlineStr">
        <is>
          <t>rupam.v</t>
        </is>
      </c>
      <c r="B1205" t="inlineStr">
        <is>
          <t>Rupam Vallecha</t>
        </is>
      </c>
      <c r="C1205" t="inlineStr">
        <is>
          <t>rupam.v@osmosys.co</t>
        </is>
      </c>
      <c r="D1205" t="inlineStr">
        <is>
          <t>incident-reporter</t>
        </is>
      </c>
      <c r="E1205">
        <f>HYPERLINK("http://gitlab.osmosys.co/incident-reporter/incident-reporter-angular-portal", "OQSHA Portal")</f>
        <v/>
      </c>
      <c r="F1205">
        <f>HYPERLINK("http://gitlab.osmosys.co/incident-reporter/incident-reporter-angular-portal/-/merge_requests/3593", "refactor: optimize filter change handling and update column mapping")</f>
        <v/>
      </c>
      <c r="G1205" t="inlineStr">
        <is>
          <t>fix/tickets-grid</t>
        </is>
      </c>
      <c r="H1205" t="inlineStr">
        <is>
          <t>sprint-17</t>
        </is>
      </c>
      <c r="I1205" t="inlineStr">
        <is>
          <t>merged</t>
        </is>
      </c>
      <c r="J1205" t="inlineStr">
        <is>
          <t>80d9858d37ff71a671ca3a63aaeed81248b865df</t>
        </is>
      </c>
      <c r="K1205">
        <f>HYPERLINK("http://gitlab.osmosys.co/incident-reporter/incident-reporter-angular-portal/-/merge_requests/3593#note_241877", "almost all this css is there in filters component, rest is not being used in list component")</f>
        <v/>
      </c>
      <c r="L1205" t="inlineStr">
        <is>
          <t>2025-07-25 16:04:53.365 IST</t>
        </is>
      </c>
      <c r="M1205" t="inlineStr">
        <is>
          <t>Rupam Vallecha</t>
        </is>
      </c>
      <c r="N1205" t="inlineStr">
        <is>
          <t>No</t>
        </is>
      </c>
      <c r="O1205" t="inlineStr">
        <is>
          <t>Yes</t>
        </is>
      </c>
      <c r="P1205" t="inlineStr">
        <is>
          <t>Raj Kumar</t>
        </is>
      </c>
      <c r="Q1205" t="inlineStr">
        <is>
          <t>Neutral</t>
        </is>
      </c>
    </row>
    <row r="1206">
      <c r="A1206" t="inlineStr">
        <is>
          <t>rupam.v</t>
        </is>
      </c>
      <c r="B1206" t="inlineStr">
        <is>
          <t>Rupam Vallecha</t>
        </is>
      </c>
      <c r="C1206" t="inlineStr">
        <is>
          <t>rupam.v@osmosys.co</t>
        </is>
      </c>
      <c r="D1206" t="inlineStr">
        <is>
          <t>incident-reporter</t>
        </is>
      </c>
      <c r="E1206">
        <f>HYPERLINK("http://gitlab.osmosys.co/incident-reporter/incident-reporter-angular-portal", "OQSHA Portal")</f>
        <v/>
      </c>
      <c r="F1206">
        <f>HYPERLINK("http://gitlab.osmosys.co/incident-reporter/incident-reporter-angular-portal/-/merge_requests/3580", "fix: update signature button logic")</f>
        <v/>
      </c>
      <c r="G1206" t="inlineStr">
        <is>
          <t>fix/sign-sequence</t>
        </is>
      </c>
      <c r="H1206" t="inlineStr">
        <is>
          <t>sprint-17</t>
        </is>
      </c>
      <c r="I1206" t="inlineStr">
        <is>
          <t>merged</t>
        </is>
      </c>
      <c r="J1206" t="inlineStr"/>
      <c r="K1206" t="inlineStr"/>
      <c r="L1206" t="inlineStr"/>
      <c r="M1206" t="inlineStr"/>
      <c r="N1206" t="inlineStr"/>
      <c r="O1206" t="inlineStr"/>
      <c r="P1206" t="inlineStr"/>
      <c r="Q1206" t="inlineStr"/>
    </row>
    <row r="1207">
      <c r="A1207" t="inlineStr">
        <is>
          <t>rupam.v</t>
        </is>
      </c>
      <c r="B1207" t="inlineStr">
        <is>
          <t>Rupam Vallecha</t>
        </is>
      </c>
      <c r="C1207" t="inlineStr">
        <is>
          <t>rupam.v@osmosys.co</t>
        </is>
      </c>
      <c r="D1207" t="inlineStr">
        <is>
          <t>incident-reporter</t>
        </is>
      </c>
      <c r="E1207">
        <f>HYPERLINK("http://gitlab.osmosys.co/incident-reporter/incident-reporter-angular-portal", "OQSHA Portal")</f>
        <v/>
      </c>
      <c r="F1207">
        <f>HYPERLINK("http://gitlab.osmosys.co/incident-reporter/incident-reporter-angular-portal/-/merge_requests/3566", "feat: add department dropdown functionality")</f>
        <v/>
      </c>
      <c r="G1207" t="inlineStr">
        <is>
          <t>fix/update-signature-setup-moc</t>
        </is>
      </c>
      <c r="H1207" t="inlineStr">
        <is>
          <t>sprint-17</t>
        </is>
      </c>
      <c r="I1207" t="inlineStr">
        <is>
          <t>merged</t>
        </is>
      </c>
      <c r="J1207" t="inlineStr"/>
      <c r="K1207" t="inlineStr"/>
      <c r="L1207" t="inlineStr"/>
      <c r="M1207" t="inlineStr"/>
      <c r="N1207" t="inlineStr"/>
      <c r="O1207" t="inlineStr"/>
      <c r="P1207" t="inlineStr"/>
      <c r="Q1207" t="inlineStr"/>
    </row>
    <row r="1208">
      <c r="A1208" t="inlineStr">
        <is>
          <t>rupam.v</t>
        </is>
      </c>
      <c r="B1208" t="inlineStr">
        <is>
          <t>Rupam Vallecha</t>
        </is>
      </c>
      <c r="C1208" t="inlineStr">
        <is>
          <t>rupam.v@osmosys.co</t>
        </is>
      </c>
      <c r="D1208" t="inlineStr">
        <is>
          <t>incident-reporter</t>
        </is>
      </c>
      <c r="E1208">
        <f>HYPERLINK("http://gitlab.osmosys.co/incident-reporter/incident-reporter-angular-portal", "OQSHA Portal")</f>
        <v/>
      </c>
      <c r="F1208">
        <f>HYPERLINK("http://gitlab.osmosys.co/incident-reporter/incident-reporter-angular-portal/-/merge_requests/3554", "fix: update time selection logic in incident")</f>
        <v/>
      </c>
      <c r="G1208" t="inlineStr">
        <is>
          <t>fix/incident-time</t>
        </is>
      </c>
      <c r="H1208" t="inlineStr">
        <is>
          <t>sprint-17</t>
        </is>
      </c>
      <c r="I1208" t="inlineStr">
        <is>
          <t>merged</t>
        </is>
      </c>
      <c r="J1208" t="inlineStr"/>
      <c r="K1208" t="inlineStr"/>
      <c r="L1208" t="inlineStr"/>
      <c r="M1208" t="inlineStr"/>
      <c r="N1208" t="inlineStr"/>
      <c r="O1208" t="inlineStr"/>
      <c r="P1208" t="inlineStr"/>
      <c r="Q1208" t="inlineStr"/>
    </row>
    <row r="1209">
      <c r="A1209" t="inlineStr">
        <is>
          <t>rupam.v</t>
        </is>
      </c>
      <c r="B1209" t="inlineStr">
        <is>
          <t>Rupam Vallecha</t>
        </is>
      </c>
      <c r="C1209" t="inlineStr">
        <is>
          <t>rupam.v@osmosys.co</t>
        </is>
      </c>
      <c r="D1209" t="inlineStr">
        <is>
          <t>incident-reporter</t>
        </is>
      </c>
      <c r="E1209">
        <f>HYPERLINK("http://gitlab.osmosys.co/incident-reporter/incident-reporter-angular-portal", "OQSHA Portal")</f>
        <v/>
      </c>
      <c r="F1209">
        <f>HYPERLINK("http://gitlab.osmosys.co/incident-reporter/incident-reporter-angular-portal/-/merge_requests/3546", "fix: scrollable datepicker issue")</f>
        <v/>
      </c>
      <c r="G1209" t="inlineStr">
        <is>
          <t>fix/datepicker-issue</t>
        </is>
      </c>
      <c r="H1209" t="inlineStr">
        <is>
          <t>sprint-17</t>
        </is>
      </c>
      <c r="I1209" t="inlineStr">
        <is>
          <t>opened</t>
        </is>
      </c>
      <c r="J1209" t="inlineStr"/>
      <c r="K1209" t="inlineStr"/>
      <c r="L1209" t="inlineStr"/>
      <c r="M1209" t="inlineStr"/>
      <c r="N1209" t="inlineStr"/>
      <c r="O1209" t="inlineStr"/>
      <c r="P1209" t="inlineStr"/>
      <c r="Q1209" t="inlineStr"/>
    </row>
    <row r="1210">
      <c r="A1210" t="inlineStr">
        <is>
          <t>rupam.v</t>
        </is>
      </c>
      <c r="B1210" t="inlineStr">
        <is>
          <t>Rupam Vallecha</t>
        </is>
      </c>
      <c r="C1210" t="inlineStr">
        <is>
          <t>rupam.v@osmosys.co</t>
        </is>
      </c>
      <c r="D1210" t="inlineStr">
        <is>
          <t>incident-reporter</t>
        </is>
      </c>
      <c r="E1210">
        <f>HYPERLINK("http://gitlab.osmosys.co/incident-reporter/incident-reporter-angular-portal", "OQSHA Portal")</f>
        <v/>
      </c>
      <c r="F1210">
        <f>HYPERLINK("http://gitlab.osmosys.co/incident-reporter/incident-reporter-angular-portal/-/merge_requests/3545", "fix: revert incident ui changes")</f>
        <v/>
      </c>
      <c r="G1210" t="inlineStr">
        <is>
          <t>fix/revert-incidents-ui</t>
        </is>
      </c>
      <c r="H1210" t="inlineStr">
        <is>
          <t>sprint-17</t>
        </is>
      </c>
      <c r="I1210" t="inlineStr">
        <is>
          <t>merged</t>
        </is>
      </c>
      <c r="J1210" t="inlineStr"/>
      <c r="K1210" t="inlineStr"/>
      <c r="L1210" t="inlineStr"/>
      <c r="M1210" t="inlineStr"/>
      <c r="N1210" t="inlineStr"/>
      <c r="O1210" t="inlineStr"/>
      <c r="P1210" t="inlineStr"/>
      <c r="Q1210" t="inlineStr"/>
    </row>
    <row r="1211">
      <c r="A1211" t="inlineStr">
        <is>
          <t>rupam.v</t>
        </is>
      </c>
      <c r="B1211" t="inlineStr">
        <is>
          <t>Rupam Vallecha</t>
        </is>
      </c>
      <c r="C1211" t="inlineStr">
        <is>
          <t>rupam.v@osmosys.co</t>
        </is>
      </c>
      <c r="D1211" t="inlineStr">
        <is>
          <t>incident-reporter</t>
        </is>
      </c>
      <c r="E1211">
        <f>HYPERLINK("http://gitlab.osmosys.co/incident-reporter/incident-reporter-angular-portal", "OQSHA Portal")</f>
        <v/>
      </c>
      <c r="F1211">
        <f>HYPERLINK("http://gitlab.osmosys.co/incident-reporter/incident-reporter-angular-portal/-/merge_requests/3544", "feat: enhance incident form layout and validation")</f>
        <v/>
      </c>
      <c r="G1211" t="inlineStr">
        <is>
          <t>fix/send-lat-lng</t>
        </is>
      </c>
      <c r="H1211" t="inlineStr">
        <is>
          <t>sprint-17</t>
        </is>
      </c>
      <c r="I1211" t="inlineStr">
        <is>
          <t>opened</t>
        </is>
      </c>
      <c r="J1211" t="inlineStr"/>
      <c r="K1211" t="inlineStr"/>
      <c r="L1211" t="inlineStr"/>
      <c r="M1211" t="inlineStr"/>
      <c r="N1211" t="inlineStr"/>
      <c r="O1211" t="inlineStr"/>
      <c r="P1211" t="inlineStr"/>
      <c r="Q1211" t="inlineStr"/>
    </row>
    <row r="1212">
      <c r="A1212" t="inlineStr">
        <is>
          <t>rupam.v</t>
        </is>
      </c>
      <c r="B1212" t="inlineStr">
        <is>
          <t>Rupam Vallecha</t>
        </is>
      </c>
      <c r="C1212" t="inlineStr">
        <is>
          <t>rupam.v@osmosys.co</t>
        </is>
      </c>
      <c r="D1212" t="inlineStr">
        <is>
          <t>incident-reporter</t>
        </is>
      </c>
      <c r="E1212">
        <f>HYPERLINK("http://gitlab.osmosys.co/incident-reporter/incident-reporter-angular-portal", "OQSHA Portal")</f>
        <v/>
      </c>
      <c r="F1212">
        <f>HYPERLINK("http://gitlab.osmosys.co/incident-reporter/incident-reporter-angular-portal/-/merge_requests/3538", "feat: add view document functionality")</f>
        <v/>
      </c>
      <c r="G1212" t="inlineStr">
        <is>
          <t>feat/add-view-document</t>
        </is>
      </c>
      <c r="H1212" t="inlineStr">
        <is>
          <t>sprint-17</t>
        </is>
      </c>
      <c r="I1212" t="inlineStr">
        <is>
          <t>merged</t>
        </is>
      </c>
      <c r="J1212" t="inlineStr">
        <is>
          <t>4583c36c803f2ae39c400ce11ed3e8814bd65cc0</t>
        </is>
      </c>
      <c r="K1212">
        <f>HYPERLINK("http://gitlab.osmosys.co/incident-reporter/incident-reporter-angular-portal/-/merge_requests/3538#note_240525", "Instead of eye icon please use view document icon or file icon because it bit confusing by seeing that we can able to view the detail so there is no idea or clue that user will get the downloaded document if click on it")</f>
        <v/>
      </c>
      <c r="L1212" t="inlineStr">
        <is>
          <t>2025-07-22 19:50:46.454 IST</t>
        </is>
      </c>
      <c r="M1212" t="inlineStr">
        <is>
          <t>Soundariya B</t>
        </is>
      </c>
      <c r="N1212" t="inlineStr">
        <is>
          <t>Yes</t>
        </is>
      </c>
      <c r="O1212" t="inlineStr">
        <is>
          <t>Yes</t>
        </is>
      </c>
      <c r="P1212" t="inlineStr">
        <is>
          <t>Raj Kumar</t>
        </is>
      </c>
      <c r="Q1212" t="inlineStr">
        <is>
          <t>Good</t>
        </is>
      </c>
    </row>
    <row r="1213">
      <c r="A1213" t="inlineStr">
        <is>
          <t>rupam.v</t>
        </is>
      </c>
      <c r="B1213" t="inlineStr">
        <is>
          <t>Rupam Vallecha</t>
        </is>
      </c>
      <c r="C1213" t="inlineStr">
        <is>
          <t>rupam.v@osmosys.co</t>
        </is>
      </c>
      <c r="D1213" t="inlineStr">
        <is>
          <t>incident-reporter</t>
        </is>
      </c>
      <c r="E1213">
        <f>HYPERLINK("http://gitlab.osmosys.co/incident-reporter/incident-reporter-angular-portal", "OQSHA Portal")</f>
        <v/>
      </c>
      <c r="F1213">
        <f>HYPERLINK("http://gitlab.osmosys.co/incident-reporter/incident-reporter-angular-portal/-/merge_requests/3538", "feat: add view document functionality")</f>
        <v/>
      </c>
      <c r="G1213" t="inlineStr">
        <is>
          <t>feat/add-view-document</t>
        </is>
      </c>
      <c r="H1213" t="inlineStr">
        <is>
          <t>sprint-17</t>
        </is>
      </c>
      <c r="I1213" t="inlineStr">
        <is>
          <t>merged</t>
        </is>
      </c>
      <c r="J1213" t="inlineStr">
        <is>
          <t>4583c36c803f2ae39c400ce11ed3e8814bd65cc0</t>
        </is>
      </c>
      <c r="K1213">
        <f>HYPERLINK("http://gitlab.osmosys.co/incident-reporter/incident-reporter-angular-portal/-/merge_requests/3538#note_240557", "its already updated")</f>
        <v/>
      </c>
      <c r="L1213" t="inlineStr">
        <is>
          <t>2025-07-22 21:01:12.685 IST</t>
        </is>
      </c>
      <c r="M1213" t="inlineStr">
        <is>
          <t>Rupam Vallecha</t>
        </is>
      </c>
      <c r="N1213" t="inlineStr">
        <is>
          <t>No</t>
        </is>
      </c>
      <c r="O1213" t="inlineStr">
        <is>
          <t>Yes</t>
        </is>
      </c>
      <c r="P1213" t="inlineStr">
        <is>
          <t>Raj Kumar</t>
        </is>
      </c>
      <c r="Q1213" t="inlineStr">
        <is>
          <t>Good</t>
        </is>
      </c>
    </row>
    <row r="1214">
      <c r="A1214" t="inlineStr">
        <is>
          <t>rupam.v</t>
        </is>
      </c>
      <c r="B1214" t="inlineStr">
        <is>
          <t>Rupam Vallecha</t>
        </is>
      </c>
      <c r="C1214" t="inlineStr">
        <is>
          <t>rupam.v@osmosys.co</t>
        </is>
      </c>
      <c r="D1214" t="inlineStr">
        <is>
          <t>incident-reporter</t>
        </is>
      </c>
      <c r="E1214">
        <f>HYPERLINK("http://gitlab.osmosys.co/incident-reporter/incident-reporter-angular-portal", "OQSHA Portal")</f>
        <v/>
      </c>
      <c r="F1214">
        <f>HYPERLINK("http://gitlab.osmosys.co/incident-reporter/incident-reporter-angular-portal/-/merge_requests/3538", "feat: add view document functionality")</f>
        <v/>
      </c>
      <c r="G1214" t="inlineStr">
        <is>
          <t>feat/add-view-document</t>
        </is>
      </c>
      <c r="H1214" t="inlineStr">
        <is>
          <t>sprint-17</t>
        </is>
      </c>
      <c r="I1214" t="inlineStr">
        <is>
          <t>merged</t>
        </is>
      </c>
      <c r="J1214" t="inlineStr">
        <is>
          <t>e601f49c1f6a7435bf00174e52ed7ef7645b464e</t>
        </is>
      </c>
      <c r="K1214">
        <f>HYPERLINK("http://gitlab.osmosys.co/incident-reporter/incident-reporter-angular-portal/-/merge_requests/3538#note_240526", "Here icon seems using of download and there in SS showing eye icon")</f>
        <v/>
      </c>
      <c r="L1214" t="inlineStr">
        <is>
          <t>2025-07-22 19:50:46.533 IST</t>
        </is>
      </c>
      <c r="M1214" t="inlineStr">
        <is>
          <t>Soundariya B</t>
        </is>
      </c>
      <c r="N1214" t="inlineStr">
        <is>
          <t>Yes</t>
        </is>
      </c>
      <c r="O1214" t="inlineStr">
        <is>
          <t>Yes</t>
        </is>
      </c>
      <c r="P1214" t="inlineStr">
        <is>
          <t>Raj Kumar</t>
        </is>
      </c>
      <c r="Q1214" t="inlineStr">
        <is>
          <t>Good</t>
        </is>
      </c>
    </row>
    <row r="1215">
      <c r="A1215" t="inlineStr">
        <is>
          <t>rupam.v</t>
        </is>
      </c>
      <c r="B1215" t="inlineStr">
        <is>
          <t>Rupam Vallecha</t>
        </is>
      </c>
      <c r="C1215" t="inlineStr">
        <is>
          <t>rupam.v@osmosys.co</t>
        </is>
      </c>
      <c r="D1215" t="inlineStr">
        <is>
          <t>incident-reporter</t>
        </is>
      </c>
      <c r="E1215">
        <f>HYPERLINK("http://gitlab.osmosys.co/incident-reporter/incident-reporter-angular-portal", "OQSHA Portal")</f>
        <v/>
      </c>
      <c r="F1215">
        <f>HYPERLINK("http://gitlab.osmosys.co/incident-reporter/incident-reporter-angular-portal/-/merge_requests/3538", "feat: add view document functionality")</f>
        <v/>
      </c>
      <c r="G1215" t="inlineStr">
        <is>
          <t>feat/add-view-document</t>
        </is>
      </c>
      <c r="H1215" t="inlineStr">
        <is>
          <t>sprint-17</t>
        </is>
      </c>
      <c r="I1215" t="inlineStr">
        <is>
          <t>merged</t>
        </is>
      </c>
      <c r="J1215" t="inlineStr">
        <is>
          <t>e601f49c1f6a7435bf00174e52ed7ef7645b464e</t>
        </is>
      </c>
      <c r="K1215">
        <f>HYPERLINK("http://gitlab.osmosys.co/incident-reporter/incident-reporter-angular-portal/-/merge_requests/3538#note_240559", "its updated, attached ss
![image.png](/uploads/037d19923c860ab4cde7924a1aa1dd5f/image.png){width=324 height=182}")</f>
        <v/>
      </c>
      <c r="L1215" t="inlineStr">
        <is>
          <t>2025-07-22 21:01:32.627 IST</t>
        </is>
      </c>
      <c r="M1215" t="inlineStr">
        <is>
          <t>Rupam Vallecha</t>
        </is>
      </c>
      <c r="N1215" t="inlineStr">
        <is>
          <t>No</t>
        </is>
      </c>
      <c r="O1215" t="inlineStr">
        <is>
          <t>Yes</t>
        </is>
      </c>
      <c r="P1215" t="inlineStr">
        <is>
          <t>Raj Kumar</t>
        </is>
      </c>
      <c r="Q1215" t="inlineStr">
        <is>
          <t>Good</t>
        </is>
      </c>
    </row>
    <row r="1216">
      <c r="A1216" t="inlineStr">
        <is>
          <t>rupam.v</t>
        </is>
      </c>
      <c r="B1216" t="inlineStr">
        <is>
          <t>Rupam Vallecha</t>
        </is>
      </c>
      <c r="C1216" t="inlineStr">
        <is>
          <t>rupam.v@osmosys.co</t>
        </is>
      </c>
      <c r="D1216" t="inlineStr">
        <is>
          <t>incident-reporter</t>
        </is>
      </c>
      <c r="E1216">
        <f>HYPERLINK("http://gitlab.osmosys.co/incident-reporter/incident-reporter-angular-portal", "OQSHA Portal")</f>
        <v/>
      </c>
      <c r="F1216">
        <f>HYPERLINK("http://gitlab.osmosys.co/incident-reporter/incident-reporter-angular-portal/-/merge_requests/3538", "feat: add view document functionality")</f>
        <v/>
      </c>
      <c r="G1216" t="inlineStr">
        <is>
          <t>feat/add-view-document</t>
        </is>
      </c>
      <c r="H1216" t="inlineStr">
        <is>
          <t>sprint-17</t>
        </is>
      </c>
      <c r="I1216" t="inlineStr">
        <is>
          <t>merged</t>
        </is>
      </c>
      <c r="J1216" t="inlineStr">
        <is>
          <t>107f8861a4619912a790abbbb3fefbabc877f9eb</t>
        </is>
      </c>
      <c r="K1216">
        <f>HYPERLINK("http://gitlab.osmosys.co/incident-reporter/incident-reporter-angular-portal/-/merge_requests/3538#note_240527", "Code repetition")</f>
        <v/>
      </c>
      <c r="L1216" t="inlineStr">
        <is>
          <t>2025-07-22 19:50:46.593 IST</t>
        </is>
      </c>
      <c r="M1216" t="inlineStr">
        <is>
          <t>Soundariya B</t>
        </is>
      </c>
      <c r="N1216" t="inlineStr">
        <is>
          <t>Yes</t>
        </is>
      </c>
      <c r="O1216" t="inlineStr">
        <is>
          <t>Yes</t>
        </is>
      </c>
      <c r="P1216" t="inlineStr">
        <is>
          <t>Raj Kumar</t>
        </is>
      </c>
      <c r="Q1216" t="inlineStr">
        <is>
          <t>Neutral</t>
        </is>
      </c>
    </row>
    <row r="1217">
      <c r="A1217" t="inlineStr">
        <is>
          <t>rupam.v</t>
        </is>
      </c>
      <c r="B1217" t="inlineStr">
        <is>
          <t>Rupam Vallecha</t>
        </is>
      </c>
      <c r="C1217" t="inlineStr">
        <is>
          <t>rupam.v@osmosys.co</t>
        </is>
      </c>
      <c r="D1217" t="inlineStr">
        <is>
          <t>incident-reporter</t>
        </is>
      </c>
      <c r="E1217">
        <f>HYPERLINK("http://gitlab.osmosys.co/incident-reporter/incident-reporter-angular-portal", "OQSHA Portal")</f>
        <v/>
      </c>
      <c r="F1217">
        <f>HYPERLINK("http://gitlab.osmosys.co/incident-reporter/incident-reporter-angular-portal/-/merge_requests/3538", "feat: add view document functionality")</f>
        <v/>
      </c>
      <c r="G1217" t="inlineStr">
        <is>
          <t>feat/add-view-document</t>
        </is>
      </c>
      <c r="H1217" t="inlineStr">
        <is>
          <t>sprint-17</t>
        </is>
      </c>
      <c r="I1217" t="inlineStr">
        <is>
          <t>merged</t>
        </is>
      </c>
      <c r="J1217" t="inlineStr">
        <is>
          <t>107f8861a4619912a790abbbb3fefbabc877f9eb</t>
        </is>
      </c>
      <c r="K1217">
        <f>HYPERLINK("http://gitlab.osmosys.co/incident-reporter/incident-reporter-angular-portal/-/merge_requests/3538#note_240561", "whats being repeated here?")</f>
        <v/>
      </c>
      <c r="L1217" t="inlineStr">
        <is>
          <t>2025-07-22 21:04:54.560 IST</t>
        </is>
      </c>
      <c r="M1217" t="inlineStr">
        <is>
          <t>Rupam Vallecha</t>
        </is>
      </c>
      <c r="N1217" t="inlineStr">
        <is>
          <t>No</t>
        </is>
      </c>
      <c r="O1217" t="inlineStr">
        <is>
          <t>Yes</t>
        </is>
      </c>
      <c r="P1217" t="inlineStr">
        <is>
          <t>Raj Kumar</t>
        </is>
      </c>
      <c r="Q1217" t="inlineStr">
        <is>
          <t>Neutral</t>
        </is>
      </c>
    </row>
    <row r="1218">
      <c r="A1218" t="inlineStr">
        <is>
          <t>rupam.v</t>
        </is>
      </c>
      <c r="B1218" t="inlineStr">
        <is>
          <t>Rupam Vallecha</t>
        </is>
      </c>
      <c r="C1218" t="inlineStr">
        <is>
          <t>rupam.v@osmosys.co</t>
        </is>
      </c>
      <c r="D1218" t="inlineStr">
        <is>
          <t>incident-reporter</t>
        </is>
      </c>
      <c r="E1218">
        <f>HYPERLINK("http://gitlab.osmosys.co/incident-reporter/incident-reporter-angular-portal", "OQSHA Portal")</f>
        <v/>
      </c>
      <c r="F1218">
        <f>HYPERLINK("http://gitlab.osmosys.co/incident-reporter/incident-reporter-angular-portal/-/merge_requests/3538", "feat: add view document functionality")</f>
        <v/>
      </c>
      <c r="G1218" t="inlineStr">
        <is>
          <t>feat/add-view-document</t>
        </is>
      </c>
      <c r="H1218" t="inlineStr">
        <is>
          <t>sprint-17</t>
        </is>
      </c>
      <c r="I1218" t="inlineStr">
        <is>
          <t>merged</t>
        </is>
      </c>
      <c r="J1218" t="inlineStr">
        <is>
          <t>56ae2df686cffa8edf401fbc2b8a29037067fcd2</t>
        </is>
      </c>
      <c r="K1218">
        <f>HYPERLINK("http://gitlab.osmosys.co/incident-reporter/incident-reporter-angular-portal/-/merge_requests/3538#note_240528", "Don't we have permission for deletion check")</f>
        <v/>
      </c>
      <c r="L1218" t="inlineStr">
        <is>
          <t>2025-07-22 19:50:46.648 IST</t>
        </is>
      </c>
      <c r="M1218" t="inlineStr">
        <is>
          <t>Soundariya B</t>
        </is>
      </c>
      <c r="N1218" t="inlineStr">
        <is>
          <t>Yes</t>
        </is>
      </c>
      <c r="O1218" t="inlineStr">
        <is>
          <t>Yes</t>
        </is>
      </c>
      <c r="P1218" t="inlineStr">
        <is>
          <t>Raj Kumar</t>
        </is>
      </c>
      <c r="Q1218" t="inlineStr">
        <is>
          <t>Neutral</t>
        </is>
      </c>
    </row>
    <row r="1219">
      <c r="A1219" t="inlineStr">
        <is>
          <t>rupam.v</t>
        </is>
      </c>
      <c r="B1219" t="inlineStr">
        <is>
          <t>Rupam Vallecha</t>
        </is>
      </c>
      <c r="C1219" t="inlineStr">
        <is>
          <t>rupam.v@osmosys.co</t>
        </is>
      </c>
      <c r="D1219" t="inlineStr">
        <is>
          <t>incident-reporter</t>
        </is>
      </c>
      <c r="E1219">
        <f>HYPERLINK("http://gitlab.osmosys.co/incident-reporter/incident-reporter-angular-portal", "OQSHA Portal")</f>
        <v/>
      </c>
      <c r="F1219">
        <f>HYPERLINK("http://gitlab.osmosys.co/incident-reporter/incident-reporter-angular-portal/-/merge_requests/3538", "feat: add view document functionality")</f>
        <v/>
      </c>
      <c r="G1219" t="inlineStr">
        <is>
          <t>feat/add-view-document</t>
        </is>
      </c>
      <c r="H1219" t="inlineStr">
        <is>
          <t>sprint-17</t>
        </is>
      </c>
      <c r="I1219" t="inlineStr">
        <is>
          <t>merged</t>
        </is>
      </c>
      <c r="J1219" t="inlineStr">
        <is>
          <t>56ae2df686cffa8edf401fbc2b8a29037067fcd2</t>
        </is>
      </c>
      <c r="K1219">
        <f>HYPERLINK("http://gitlab.osmosys.co/incident-reporter/incident-reporter-angular-portal/-/merge_requests/3538#note_240560", "i didnt work on delete")</f>
        <v/>
      </c>
      <c r="L1219" t="inlineStr">
        <is>
          <t>2025-07-22 21:03:16.432 IST</t>
        </is>
      </c>
      <c r="M1219" t="inlineStr">
        <is>
          <t>Rupam Vallecha</t>
        </is>
      </c>
      <c r="N1219" t="inlineStr">
        <is>
          <t>No</t>
        </is>
      </c>
      <c r="O1219" t="inlineStr">
        <is>
          <t>Yes</t>
        </is>
      </c>
      <c r="P1219" t="inlineStr">
        <is>
          <t>Raj Kumar</t>
        </is>
      </c>
      <c r="Q1219" t="inlineStr">
        <is>
          <t>Neutral</t>
        </is>
      </c>
    </row>
    <row r="1220">
      <c r="A1220" t="inlineStr">
        <is>
          <t>rupam.v</t>
        </is>
      </c>
      <c r="B1220" t="inlineStr">
        <is>
          <t>Rupam Vallecha</t>
        </is>
      </c>
      <c r="C1220" t="inlineStr">
        <is>
          <t>rupam.v@osmosys.co</t>
        </is>
      </c>
      <c r="D1220" t="inlineStr">
        <is>
          <t>incident-reporter</t>
        </is>
      </c>
      <c r="E1220">
        <f>HYPERLINK("http://gitlab.osmosys.co/incident-reporter/incident-reporter-angular-portal", "OQSHA Portal")</f>
        <v/>
      </c>
      <c r="F1220">
        <f>HYPERLINK("http://gitlab.osmosys.co/incident-reporter/incident-reporter-angular-portal/-/merge_requests/3538", "feat: add view document functionality")</f>
        <v/>
      </c>
      <c r="G1220" t="inlineStr">
        <is>
          <t>feat/add-view-document</t>
        </is>
      </c>
      <c r="H1220" t="inlineStr">
        <is>
          <t>sprint-17</t>
        </is>
      </c>
      <c r="I1220" t="inlineStr">
        <is>
          <t>merged</t>
        </is>
      </c>
      <c r="J1220" t="inlineStr">
        <is>
          <t>d9dd885b6a88ba49e58629c6ea0e305a5557ca1d</t>
        </is>
      </c>
      <c r="K1220">
        <f>HYPERLINK("http://gitlab.osmosys.co/incident-reporter/incident-reporter-angular-portal/-/merge_requests/3538#note_240529", "Don't use this, instead please use existing one which already we have for download files")</f>
        <v/>
      </c>
      <c r="L1220" t="inlineStr">
        <is>
          <t>2025-07-22 19:50:46.705 IST</t>
        </is>
      </c>
      <c r="M1220" t="inlineStr">
        <is>
          <t>Soundariya B</t>
        </is>
      </c>
      <c r="N1220" t="inlineStr">
        <is>
          <t>Yes</t>
        </is>
      </c>
      <c r="O1220" t="inlineStr">
        <is>
          <t>Yes</t>
        </is>
      </c>
      <c r="P1220" t="inlineStr">
        <is>
          <t>Raj Kumar</t>
        </is>
      </c>
      <c r="Q1220" t="inlineStr">
        <is>
          <t>Bad</t>
        </is>
      </c>
    </row>
    <row r="1221">
      <c r="A1221" t="inlineStr">
        <is>
          <t>rupam.v</t>
        </is>
      </c>
      <c r="B1221" t="inlineStr">
        <is>
          <t>Rupam Vallecha</t>
        </is>
      </c>
      <c r="C1221" t="inlineStr">
        <is>
          <t>rupam.v@osmosys.co</t>
        </is>
      </c>
      <c r="D1221" t="inlineStr">
        <is>
          <t>incident-reporter</t>
        </is>
      </c>
      <c r="E1221">
        <f>HYPERLINK("http://gitlab.osmosys.co/incident-reporter/incident-reporter-angular-portal", "OQSHA Portal")</f>
        <v/>
      </c>
      <c r="F1221">
        <f>HYPERLINK("http://gitlab.osmosys.co/incident-reporter/incident-reporter-angular-portal/-/merge_requests/3538", "feat: add view document functionality")</f>
        <v/>
      </c>
      <c r="G1221" t="inlineStr">
        <is>
          <t>feat/add-view-document</t>
        </is>
      </c>
      <c r="H1221" t="inlineStr">
        <is>
          <t>sprint-17</t>
        </is>
      </c>
      <c r="I1221" t="inlineStr">
        <is>
          <t>merged</t>
        </is>
      </c>
      <c r="J1221" t="inlineStr">
        <is>
          <t>d9dd885b6a88ba49e58629c6ea0e305a5557ca1d</t>
        </is>
      </c>
      <c r="K1221">
        <f>HYPERLINK("http://gitlab.osmosys.co/incident-reporter/incident-reporter-angular-portal/-/merge_requests/3538#note_240562", "this is what we have , and this wont work here
![image.png](/uploads/3bd8350b768dab6aa1fd5d00dd500ab7/image.png){width=397 height=174}")</f>
        <v/>
      </c>
      <c r="L1221" t="inlineStr">
        <is>
          <t>2025-07-22 21:06:44.484 IST</t>
        </is>
      </c>
      <c r="M1221" t="inlineStr">
        <is>
          <t>Rupam Vallecha</t>
        </is>
      </c>
      <c r="N1221" t="inlineStr">
        <is>
          <t>No</t>
        </is>
      </c>
      <c r="O1221" t="inlineStr">
        <is>
          <t>Yes</t>
        </is>
      </c>
      <c r="P1221" t="inlineStr">
        <is>
          <t>Raj Kumar</t>
        </is>
      </c>
      <c r="Q1221" t="inlineStr">
        <is>
          <t>Bad</t>
        </is>
      </c>
    </row>
    <row r="1222">
      <c r="A1222" t="inlineStr">
        <is>
          <t>rupam.v</t>
        </is>
      </c>
      <c r="B1222" t="inlineStr">
        <is>
          <t>Rupam Vallecha</t>
        </is>
      </c>
      <c r="C1222" t="inlineStr">
        <is>
          <t>rupam.v@osmosys.co</t>
        </is>
      </c>
      <c r="D1222" t="inlineStr">
        <is>
          <t>incident-reporter</t>
        </is>
      </c>
      <c r="E1222">
        <f>HYPERLINK("http://gitlab.osmosys.co/incident-reporter/incident-reporter-angular-portal", "OQSHA Portal")</f>
        <v/>
      </c>
      <c r="F1222">
        <f>HYPERLINK("http://gitlab.osmosys.co/incident-reporter/incident-reporter-angular-portal/-/merge_requests/3528", "feat: enhance incident form layout")</f>
        <v/>
      </c>
      <c r="G1222" t="inlineStr">
        <is>
          <t>fix/send-lat-lng</t>
        </is>
      </c>
      <c r="H1222" t="inlineStr">
        <is>
          <t>sprint-17</t>
        </is>
      </c>
      <c r="I1222" t="inlineStr">
        <is>
          <t>merged</t>
        </is>
      </c>
      <c r="J1222" t="inlineStr">
        <is>
          <t>935d6abf889ba410025ca37cd60ca438b331d83d</t>
        </is>
      </c>
      <c r="K1222">
        <f>HYPERLINK("http://gitlab.osmosys.co/incident-reporter/incident-reporter-angular-portal/-/merge_requests/3528#note_239644", "Don't use inline CSS")</f>
        <v/>
      </c>
      <c r="L1222" t="inlineStr">
        <is>
          <t>2025-07-22 00:50:32.787 IST</t>
        </is>
      </c>
      <c r="M1222" t="inlineStr">
        <is>
          <t>Soundariya B</t>
        </is>
      </c>
      <c r="N1222" t="inlineStr">
        <is>
          <t>Yes</t>
        </is>
      </c>
      <c r="O1222" t="inlineStr">
        <is>
          <t>Yes</t>
        </is>
      </c>
      <c r="P1222" t="inlineStr">
        <is>
          <t>Soundariya B</t>
        </is>
      </c>
      <c r="Q1222" t="inlineStr">
        <is>
          <t>Bad</t>
        </is>
      </c>
    </row>
    <row r="1223">
      <c r="A1223" t="inlineStr">
        <is>
          <t>rupam.v</t>
        </is>
      </c>
      <c r="B1223" t="inlineStr">
        <is>
          <t>Rupam Vallecha</t>
        </is>
      </c>
      <c r="C1223" t="inlineStr">
        <is>
          <t>rupam.v@osmosys.co</t>
        </is>
      </c>
      <c r="D1223" t="inlineStr">
        <is>
          <t>incident-reporter</t>
        </is>
      </c>
      <c r="E1223">
        <f>HYPERLINK("http://gitlab.osmosys.co/incident-reporter/incident-reporter-angular-portal", "OQSHA Portal")</f>
        <v/>
      </c>
      <c r="F1223">
        <f>HYPERLINK("http://gitlab.osmosys.co/incident-reporter/incident-reporter-angular-portal/-/merge_requests/3528", "feat: enhance incident form layout")</f>
        <v/>
      </c>
      <c r="G1223" t="inlineStr">
        <is>
          <t>fix/send-lat-lng</t>
        </is>
      </c>
      <c r="H1223" t="inlineStr">
        <is>
          <t>sprint-17</t>
        </is>
      </c>
      <c r="I1223" t="inlineStr">
        <is>
          <t>merged</t>
        </is>
      </c>
      <c r="J1223" t="inlineStr">
        <is>
          <t>935d6abf889ba410025ca37cd60ca438b331d83d</t>
        </is>
      </c>
      <c r="K1223">
        <f>HYPERLINK("http://gitlab.osmosys.co/incident-reporter/incident-reporter-angular-portal/-/merge_requests/3528#note_239768", "removed")</f>
        <v/>
      </c>
      <c r="L1223" t="inlineStr">
        <is>
          <t>2025-07-22 10:35:14.675 IST</t>
        </is>
      </c>
      <c r="M1223" t="inlineStr">
        <is>
          <t>Rupam Vallecha</t>
        </is>
      </c>
      <c r="N1223" t="inlineStr">
        <is>
          <t>No</t>
        </is>
      </c>
      <c r="O1223" t="inlineStr">
        <is>
          <t>Yes</t>
        </is>
      </c>
      <c r="P1223" t="inlineStr">
        <is>
          <t>Soundariya B</t>
        </is>
      </c>
      <c r="Q1223" t="inlineStr">
        <is>
          <t>Bad</t>
        </is>
      </c>
    </row>
    <row r="1224">
      <c r="A1224" t="inlineStr">
        <is>
          <t>rupam.v</t>
        </is>
      </c>
      <c r="B1224" t="inlineStr">
        <is>
          <t>Rupam Vallecha</t>
        </is>
      </c>
      <c r="C1224" t="inlineStr">
        <is>
          <t>rupam.v@osmosys.co</t>
        </is>
      </c>
      <c r="D1224" t="inlineStr">
        <is>
          <t>incident-reporter</t>
        </is>
      </c>
      <c r="E1224">
        <f>HYPERLINK("http://gitlab.osmosys.co/incident-reporter/incident-reporter-angular-portal", "OQSHA Portal")</f>
        <v/>
      </c>
      <c r="F1224">
        <f>HYPERLINK("http://gitlab.osmosys.co/incident-reporter/incident-reporter-angular-portal/-/merge_requests/3528", "feat: enhance incident form layout")</f>
        <v/>
      </c>
      <c r="G1224" t="inlineStr">
        <is>
          <t>fix/send-lat-lng</t>
        </is>
      </c>
      <c r="H1224" t="inlineStr">
        <is>
          <t>sprint-17</t>
        </is>
      </c>
      <c r="I1224" t="inlineStr">
        <is>
          <t>merged</t>
        </is>
      </c>
      <c r="J1224" t="inlineStr">
        <is>
          <t>59032f9f3a0e9d61e170cafdd4e9acd4abe0cf98</t>
        </is>
      </c>
      <c r="K1224">
        <f>HYPERLINK("http://gitlab.osmosys.co/incident-reporter/incident-reporter-angular-portal/-/merge_requests/3528#note_239645", "Same here")</f>
        <v/>
      </c>
      <c r="L1224" t="inlineStr">
        <is>
          <t>2025-07-22 00:50:32.851 IST</t>
        </is>
      </c>
      <c r="M1224" t="inlineStr">
        <is>
          <t>Soundariya B</t>
        </is>
      </c>
      <c r="N1224" t="inlineStr">
        <is>
          <t>Yes</t>
        </is>
      </c>
      <c r="O1224" t="inlineStr">
        <is>
          <t>Yes</t>
        </is>
      </c>
      <c r="P1224" t="inlineStr">
        <is>
          <t>Soundariya B</t>
        </is>
      </c>
      <c r="Q1224" t="inlineStr">
        <is>
          <t>Bad</t>
        </is>
      </c>
    </row>
    <row r="1225">
      <c r="A1225" t="inlineStr">
        <is>
          <t>rupam.v</t>
        </is>
      </c>
      <c r="B1225" t="inlineStr">
        <is>
          <t>Rupam Vallecha</t>
        </is>
      </c>
      <c r="C1225" t="inlineStr">
        <is>
          <t>rupam.v@osmosys.co</t>
        </is>
      </c>
      <c r="D1225" t="inlineStr">
        <is>
          <t>incident-reporter</t>
        </is>
      </c>
      <c r="E1225">
        <f>HYPERLINK("http://gitlab.osmosys.co/incident-reporter/incident-reporter-angular-portal", "OQSHA Portal")</f>
        <v/>
      </c>
      <c r="F1225">
        <f>HYPERLINK("http://gitlab.osmosys.co/incident-reporter/incident-reporter-angular-portal/-/merge_requests/3528", "feat: enhance incident form layout")</f>
        <v/>
      </c>
      <c r="G1225" t="inlineStr">
        <is>
          <t>fix/send-lat-lng</t>
        </is>
      </c>
      <c r="H1225" t="inlineStr">
        <is>
          <t>sprint-17</t>
        </is>
      </c>
      <c r="I1225" t="inlineStr">
        <is>
          <t>merged</t>
        </is>
      </c>
      <c r="J1225" t="inlineStr">
        <is>
          <t>59032f9f3a0e9d61e170cafdd4e9acd4abe0cf98</t>
        </is>
      </c>
      <c r="K1225">
        <f>HYPERLINK("http://gitlab.osmosys.co/incident-reporter/incident-reporter-angular-portal/-/merge_requests/3528#note_239769", "removed")</f>
        <v/>
      </c>
      <c r="L1225" t="inlineStr">
        <is>
          <t>2025-07-22 10:35:19.514 IST</t>
        </is>
      </c>
      <c r="M1225" t="inlineStr">
        <is>
          <t>Rupam Vallecha</t>
        </is>
      </c>
      <c r="N1225" t="inlineStr">
        <is>
          <t>No</t>
        </is>
      </c>
      <c r="O1225" t="inlineStr">
        <is>
          <t>Yes</t>
        </is>
      </c>
      <c r="P1225" t="inlineStr">
        <is>
          <t>Soundariya B</t>
        </is>
      </c>
      <c r="Q1225" t="inlineStr">
        <is>
          <t>Bad</t>
        </is>
      </c>
    </row>
    <row r="1226">
      <c r="A1226" t="inlineStr">
        <is>
          <t>rupam.v</t>
        </is>
      </c>
      <c r="B1226" t="inlineStr">
        <is>
          <t>Rupam Vallecha</t>
        </is>
      </c>
      <c r="C1226" t="inlineStr">
        <is>
          <t>rupam.v@osmosys.co</t>
        </is>
      </c>
      <c r="D1226" t="inlineStr">
        <is>
          <t>incident-reporter</t>
        </is>
      </c>
      <c r="E1226">
        <f>HYPERLINK("http://gitlab.osmosys.co/incident-reporter/incident-reporter-angular-portal", "OQSHA Portal")</f>
        <v/>
      </c>
      <c r="F1226">
        <f>HYPERLINK("http://gitlab.osmosys.co/incident-reporter/incident-reporter-angular-portal/-/merge_requests/3528", "feat: enhance incident form layout")</f>
        <v/>
      </c>
      <c r="G1226" t="inlineStr">
        <is>
          <t>fix/send-lat-lng</t>
        </is>
      </c>
      <c r="H1226" t="inlineStr">
        <is>
          <t>sprint-17</t>
        </is>
      </c>
      <c r="I1226" t="inlineStr">
        <is>
          <t>merged</t>
        </is>
      </c>
      <c r="J1226" t="inlineStr">
        <is>
          <t>b55f42952e1a355ba62998eff0553cabb836f75f</t>
        </is>
      </c>
      <c r="K1226">
        <f>HYPERLINK("http://gitlab.osmosys.co/incident-reporter/incident-reporter-angular-portal/-/merge_requests/3528#note_239646", "Both CSS are same please use anyone")</f>
        <v/>
      </c>
      <c r="L1226" t="inlineStr">
        <is>
          <t>2025-07-22 00:50:32.940 IST</t>
        </is>
      </c>
      <c r="M1226" t="inlineStr">
        <is>
          <t>Soundariya B</t>
        </is>
      </c>
      <c r="N1226" t="inlineStr">
        <is>
          <t>Yes</t>
        </is>
      </c>
      <c r="O1226" t="inlineStr">
        <is>
          <t>Yes</t>
        </is>
      </c>
      <c r="P1226" t="inlineStr">
        <is>
          <t>Soundariya B</t>
        </is>
      </c>
      <c r="Q1226" t="inlineStr">
        <is>
          <t>Bad</t>
        </is>
      </c>
    </row>
    <row r="1227">
      <c r="A1227" t="inlineStr">
        <is>
          <t>rupam.v</t>
        </is>
      </c>
      <c r="B1227" t="inlineStr">
        <is>
          <t>Rupam Vallecha</t>
        </is>
      </c>
      <c r="C1227" t="inlineStr">
        <is>
          <t>rupam.v@osmosys.co</t>
        </is>
      </c>
      <c r="D1227" t="inlineStr">
        <is>
          <t>incident-reporter</t>
        </is>
      </c>
      <c r="E1227">
        <f>HYPERLINK("http://gitlab.osmosys.co/incident-reporter/incident-reporter-angular-portal", "OQSHA Portal")</f>
        <v/>
      </c>
      <c r="F1227">
        <f>HYPERLINK("http://gitlab.osmosys.co/incident-reporter/incident-reporter-angular-portal/-/merge_requests/3528", "feat: enhance incident form layout")</f>
        <v/>
      </c>
      <c r="G1227" t="inlineStr">
        <is>
          <t>fix/send-lat-lng</t>
        </is>
      </c>
      <c r="H1227" t="inlineStr">
        <is>
          <t>sprint-17</t>
        </is>
      </c>
      <c r="I1227" t="inlineStr">
        <is>
          <t>merged</t>
        </is>
      </c>
      <c r="J1227" t="inlineStr">
        <is>
          <t>b55f42952e1a355ba62998eff0553cabb836f75f</t>
        </is>
      </c>
      <c r="K1227">
        <f>HYPERLINK("http://gitlab.osmosys.co/incident-reporter/incident-reporter-angular-portal/-/merge_requests/3528#note_239780", "they are not duplicates, they target different subsets of elements")</f>
        <v/>
      </c>
      <c r="L1227" t="inlineStr">
        <is>
          <t>2025-07-22 10:36:19.914 IST</t>
        </is>
      </c>
      <c r="M1227" t="inlineStr">
        <is>
          <t>Rupam Vallecha</t>
        </is>
      </c>
      <c r="N1227" t="inlineStr">
        <is>
          <t>No</t>
        </is>
      </c>
      <c r="O1227" t="inlineStr">
        <is>
          <t>Yes</t>
        </is>
      </c>
      <c r="P1227" t="inlineStr">
        <is>
          <t>Soundariya B</t>
        </is>
      </c>
      <c r="Q1227" t="inlineStr">
        <is>
          <t>Bad</t>
        </is>
      </c>
    </row>
    <row r="1228">
      <c r="A1228" t="inlineStr">
        <is>
          <t>rupam.v</t>
        </is>
      </c>
      <c r="B1228" t="inlineStr">
        <is>
          <t>Rupam Vallecha</t>
        </is>
      </c>
      <c r="C1228" t="inlineStr">
        <is>
          <t>rupam.v@osmosys.co</t>
        </is>
      </c>
      <c r="D1228" t="inlineStr">
        <is>
          <t>incident-reporter</t>
        </is>
      </c>
      <c r="E1228">
        <f>HYPERLINK("http://gitlab.osmosys.co/incident-reporter/incident-reporter-angular-portal", "OQSHA Portal")</f>
        <v/>
      </c>
      <c r="F1228">
        <f>HYPERLINK("http://gitlab.osmosys.co/incident-reporter/incident-reporter-angular-portal/-/merge_requests/3528", "feat: enhance incident form layout")</f>
        <v/>
      </c>
      <c r="G1228" t="inlineStr">
        <is>
          <t>fix/send-lat-lng</t>
        </is>
      </c>
      <c r="H1228" t="inlineStr">
        <is>
          <t>sprint-17</t>
        </is>
      </c>
      <c r="I1228" t="inlineStr">
        <is>
          <t>merged</t>
        </is>
      </c>
      <c r="J1228" t="inlineStr">
        <is>
          <t>b55f42952e1a355ba62998eff0553cabb836f75f</t>
        </is>
      </c>
      <c r="K1228">
        <f>HYPERLINK("http://gitlab.osmosys.co/incident-reporter/incident-reporter-angular-portal/-/merge_requests/3528#note_239935", ".table th.heading-label, .w-22p { width: 22%; }
Add this")</f>
        <v/>
      </c>
      <c r="L1228" t="inlineStr">
        <is>
          <t>2025-07-22 11:41:00.429 IST</t>
        </is>
      </c>
      <c r="M1228" t="inlineStr">
        <is>
          <t>Soundariya B</t>
        </is>
      </c>
      <c r="N1228" t="inlineStr">
        <is>
          <t>Yes</t>
        </is>
      </c>
      <c r="O1228" t="inlineStr">
        <is>
          <t>Yes</t>
        </is>
      </c>
      <c r="P1228" t="inlineStr">
        <is>
          <t>Soundariya B</t>
        </is>
      </c>
      <c r="Q1228" t="inlineStr">
        <is>
          <t>Bad</t>
        </is>
      </c>
    </row>
    <row r="1229">
      <c r="A1229" t="inlineStr">
        <is>
          <t>rupam.v</t>
        </is>
      </c>
      <c r="B1229" t="inlineStr">
        <is>
          <t>Rupam Vallecha</t>
        </is>
      </c>
      <c r="C1229" t="inlineStr">
        <is>
          <t>rupam.v@osmosys.co</t>
        </is>
      </c>
      <c r="D1229" t="inlineStr">
        <is>
          <t>incident-reporter</t>
        </is>
      </c>
      <c r="E1229">
        <f>HYPERLINK("http://gitlab.osmosys.co/incident-reporter/incident-reporter-angular-portal", "OQSHA Portal")</f>
        <v/>
      </c>
      <c r="F1229">
        <f>HYPERLINK("http://gitlab.osmosys.co/incident-reporter/incident-reporter-angular-portal/-/merge_requests/3528", "feat: enhance incident form layout")</f>
        <v/>
      </c>
      <c r="G1229" t="inlineStr">
        <is>
          <t>fix/send-lat-lng</t>
        </is>
      </c>
      <c r="H1229" t="inlineStr">
        <is>
          <t>sprint-17</t>
        </is>
      </c>
      <c r="I1229" t="inlineStr">
        <is>
          <t>merged</t>
        </is>
      </c>
      <c r="J1229" t="inlineStr">
        <is>
          <t>b55f42952e1a355ba62998eff0553cabb836f75f</t>
        </is>
      </c>
      <c r="K1229">
        <f>HYPERLINK("http://gitlab.osmosys.co/incident-reporter/incident-reporter-angular-portal/-/merge_requests/3528#note_239953", "done")</f>
        <v/>
      </c>
      <c r="L1229" t="inlineStr">
        <is>
          <t>2025-07-22 11:47:11.600 IST</t>
        </is>
      </c>
      <c r="M1229" t="inlineStr">
        <is>
          <t>Rupam Vallecha</t>
        </is>
      </c>
      <c r="N1229" t="inlineStr">
        <is>
          <t>No</t>
        </is>
      </c>
      <c r="O1229" t="inlineStr">
        <is>
          <t>Yes</t>
        </is>
      </c>
      <c r="P1229" t="inlineStr">
        <is>
          <t>Soundariya B</t>
        </is>
      </c>
      <c r="Q1229" t="inlineStr">
        <is>
          <t>Bad</t>
        </is>
      </c>
    </row>
    <row r="1230">
      <c r="A1230" t="inlineStr">
        <is>
          <t>rupam.v</t>
        </is>
      </c>
      <c r="B1230" t="inlineStr">
        <is>
          <t>Rupam Vallecha</t>
        </is>
      </c>
      <c r="C1230" t="inlineStr">
        <is>
          <t>rupam.v@osmosys.co</t>
        </is>
      </c>
      <c r="D1230" t="inlineStr">
        <is>
          <t>incident-reporter</t>
        </is>
      </c>
      <c r="E1230">
        <f>HYPERLINK("http://gitlab.osmosys.co/incident-reporter/incident-reporter-angular-portal", "OQSHA Portal")</f>
        <v/>
      </c>
      <c r="F1230">
        <f>HYPERLINK("http://gitlab.osmosys.co/incident-reporter/incident-reporter-angular-portal/-/merge_requests/3528", "feat: enhance incident form layout")</f>
        <v/>
      </c>
      <c r="G1230" t="inlineStr">
        <is>
          <t>fix/send-lat-lng</t>
        </is>
      </c>
      <c r="H1230" t="inlineStr">
        <is>
          <t>sprint-17</t>
        </is>
      </c>
      <c r="I1230" t="inlineStr">
        <is>
          <t>merged</t>
        </is>
      </c>
      <c r="J1230" t="inlineStr">
        <is>
          <t>37e544d7ae6e26ea0e2c01987bb8701e2961382a</t>
        </is>
      </c>
      <c r="K1230">
        <f>HYPERLINK("http://gitlab.osmosys.co/incident-reporter/incident-reporter-angular-portal/-/merge_requests/3528#note_239647", "* Use the right same and match the alignment so it looks fine I think
* As map size is reduced then the icons should also reduce right please fix the marker and max icon
* And also I suggest to increase the zoom level of the map based on pointer so user can easily check it and don't need dig into deep map zooming which give better UX
![image.png](/uploads/866e60ebb0be2a3bc9c2ccb63c437a16/image.png)")</f>
        <v/>
      </c>
      <c r="L1230" t="inlineStr">
        <is>
          <t>2025-07-22 00:50:32.988 IST</t>
        </is>
      </c>
      <c r="M1230" t="inlineStr">
        <is>
          <t>Soundariya B</t>
        </is>
      </c>
      <c r="N1230" t="inlineStr">
        <is>
          <t>Yes</t>
        </is>
      </c>
      <c r="O1230" t="inlineStr">
        <is>
          <t>Yes</t>
        </is>
      </c>
      <c r="P1230" t="inlineStr">
        <is>
          <t>Soundariya B</t>
        </is>
      </c>
      <c r="Q1230" t="inlineStr">
        <is>
          <t>Neutral</t>
        </is>
      </c>
    </row>
    <row r="1231">
      <c r="A1231" t="inlineStr">
        <is>
          <t>rupam.v</t>
        </is>
      </c>
      <c r="B1231" t="inlineStr">
        <is>
          <t>Rupam Vallecha</t>
        </is>
      </c>
      <c r="C1231" t="inlineStr">
        <is>
          <t>rupam.v@osmosys.co</t>
        </is>
      </c>
      <c r="D1231" t="inlineStr">
        <is>
          <t>incident-reporter</t>
        </is>
      </c>
      <c r="E1231">
        <f>HYPERLINK("http://gitlab.osmosys.co/incident-reporter/incident-reporter-angular-portal", "OQSHA Portal")</f>
        <v/>
      </c>
      <c r="F1231">
        <f>HYPERLINK("http://gitlab.osmosys.co/incident-reporter/incident-reporter-angular-portal/-/merge_requests/3528", "feat: enhance incident form layout")</f>
        <v/>
      </c>
      <c r="G1231" t="inlineStr">
        <is>
          <t>fix/send-lat-lng</t>
        </is>
      </c>
      <c r="H1231" t="inlineStr">
        <is>
          <t>sprint-17</t>
        </is>
      </c>
      <c r="I1231" t="inlineStr">
        <is>
          <t>merged</t>
        </is>
      </c>
      <c r="J1231" t="inlineStr">
        <is>
          <t>37e544d7ae6e26ea0e2c01987bb8701e2961382a</t>
        </is>
      </c>
      <c r="K1231">
        <f>HYPERLINK("http://gitlab.osmosys.co/incident-reporter/incident-reporter-angular-portal/-/merge_requests/3528#note_239820", "map is aligned with all other fields in form.
zoom level we fetch from api, cant change that.
can check icons later, confirmed with raj")</f>
        <v/>
      </c>
      <c r="L1231" t="inlineStr">
        <is>
          <t>2025-07-22 10:59:58.774 IST</t>
        </is>
      </c>
      <c r="M1231" t="inlineStr">
        <is>
          <t>Rupam Vallecha</t>
        </is>
      </c>
      <c r="N1231" t="inlineStr">
        <is>
          <t>No</t>
        </is>
      </c>
      <c r="O1231" t="inlineStr">
        <is>
          <t>Yes</t>
        </is>
      </c>
      <c r="P1231" t="inlineStr">
        <is>
          <t>Soundariya B</t>
        </is>
      </c>
      <c r="Q1231" t="inlineStr">
        <is>
          <t>Neutral</t>
        </is>
      </c>
    </row>
    <row r="1232">
      <c r="A1232" t="inlineStr">
        <is>
          <t>rupam.v</t>
        </is>
      </c>
      <c r="B1232" t="inlineStr">
        <is>
          <t>Rupam Vallecha</t>
        </is>
      </c>
      <c r="C1232" t="inlineStr">
        <is>
          <t>rupam.v@osmosys.co</t>
        </is>
      </c>
      <c r="D1232" t="inlineStr">
        <is>
          <t>incident-reporter</t>
        </is>
      </c>
      <c r="E1232">
        <f>HYPERLINK("http://gitlab.osmosys.co/incident-reporter/incident-reporter-angular-portal", "OQSHA Portal")</f>
        <v/>
      </c>
      <c r="F1232">
        <f>HYPERLINK("http://gitlab.osmosys.co/incident-reporter/incident-reporter-angular-portal/-/merge_requests/3517", "feat: add new columns in task table")</f>
        <v/>
      </c>
      <c r="G1232" t="inlineStr">
        <is>
          <t>feat/add-task-column</t>
        </is>
      </c>
      <c r="H1232" t="inlineStr">
        <is>
          <t>sprint-17</t>
        </is>
      </c>
      <c r="I1232" t="inlineStr">
        <is>
          <t>merged</t>
        </is>
      </c>
      <c r="J1232" t="inlineStr">
        <is>
          <t>e81cc2feee538921a2cd812b6386ffbf1b421a8d</t>
        </is>
      </c>
      <c r="K1232">
        <f>HYPERLINK("http://gitlab.osmosys.co/incident-reporter/incident-reporter-angular-portal/-/merge_requests/3517#note_239485", "@rupam.v  - Basic things
1. Overdue must be shown after the due date column - because overdue is based on duedate.
2. Overdue is NOT an yes/no, it should show how many days it's overdue.")</f>
        <v/>
      </c>
      <c r="L1232" t="inlineStr">
        <is>
          <t>2025-07-21 18:37:51.002 IST</t>
        </is>
      </c>
      <c r="M1232" t="inlineStr">
        <is>
          <t>Raj Kumar</t>
        </is>
      </c>
      <c r="N1232" t="inlineStr">
        <is>
          <t>Yes</t>
        </is>
      </c>
      <c r="O1232" t="inlineStr">
        <is>
          <t>Yes</t>
        </is>
      </c>
      <c r="P1232" t="inlineStr">
        <is>
          <t>Soundariya B</t>
        </is>
      </c>
      <c r="Q1232" t="inlineStr">
        <is>
          <t>Bad</t>
        </is>
      </c>
    </row>
    <row r="1233">
      <c r="A1233" t="inlineStr">
        <is>
          <t>rupam.v</t>
        </is>
      </c>
      <c r="B1233" t="inlineStr">
        <is>
          <t>Rupam Vallecha</t>
        </is>
      </c>
      <c r="C1233" t="inlineStr">
        <is>
          <t>rupam.v@osmosys.co</t>
        </is>
      </c>
      <c r="D1233" t="inlineStr">
        <is>
          <t>incident-reporter</t>
        </is>
      </c>
      <c r="E1233">
        <f>HYPERLINK("http://gitlab.osmosys.co/incident-reporter/incident-reporter-angular-portal", "OQSHA Portal")</f>
        <v/>
      </c>
      <c r="F1233">
        <f>HYPERLINK("http://gitlab.osmosys.co/incident-reporter/incident-reporter-angular-portal/-/merge_requests/3517", "feat: add new columns in task table")</f>
        <v/>
      </c>
      <c r="G1233" t="inlineStr">
        <is>
          <t>feat/add-task-column</t>
        </is>
      </c>
      <c r="H1233" t="inlineStr">
        <is>
          <t>sprint-17</t>
        </is>
      </c>
      <c r="I1233" t="inlineStr">
        <is>
          <t>merged</t>
        </is>
      </c>
      <c r="J1233" t="inlineStr">
        <is>
          <t>e81cc2feee538921a2cd812b6386ffbf1b421a8d</t>
        </is>
      </c>
      <c r="K1233">
        <f>HYPERLINK("http://gitlab.osmosys.co/incident-reporter/incident-reporter-angular-portal/-/merge_requests/3517#note_239514", "updated")</f>
        <v/>
      </c>
      <c r="L1233" t="inlineStr">
        <is>
          <t>2025-07-21 19:49:27.847 IST</t>
        </is>
      </c>
      <c r="M1233" t="inlineStr">
        <is>
          <t>Rupam Vallecha</t>
        </is>
      </c>
      <c r="N1233" t="inlineStr">
        <is>
          <t>No</t>
        </is>
      </c>
      <c r="O1233" t="inlineStr">
        <is>
          <t>Yes</t>
        </is>
      </c>
      <c r="P1233" t="inlineStr">
        <is>
          <t>Soundariya B</t>
        </is>
      </c>
      <c r="Q1233" t="inlineStr">
        <is>
          <t>Bad</t>
        </is>
      </c>
    </row>
    <row r="1234">
      <c r="A1234" t="inlineStr">
        <is>
          <t>rupam.v</t>
        </is>
      </c>
      <c r="B1234" t="inlineStr">
        <is>
          <t>Rupam Vallecha</t>
        </is>
      </c>
      <c r="C1234" t="inlineStr">
        <is>
          <t>rupam.v@osmosys.co</t>
        </is>
      </c>
      <c r="D1234" t="inlineStr">
        <is>
          <t>incident-reporter</t>
        </is>
      </c>
      <c r="E1234">
        <f>HYPERLINK("http://gitlab.osmosys.co/incident-reporter/incident-reporter-angular-portal", "OQSHA Portal")</f>
        <v/>
      </c>
      <c r="F1234">
        <f>HYPERLINK("http://gitlab.osmosys.co/incident-reporter/incident-reporter-angular-portal/-/merge_requests/3517", "feat: add new columns in task table")</f>
        <v/>
      </c>
      <c r="G1234" t="inlineStr">
        <is>
          <t>feat/add-task-column</t>
        </is>
      </c>
      <c r="H1234" t="inlineStr">
        <is>
          <t>sprint-17</t>
        </is>
      </c>
      <c r="I1234" t="inlineStr">
        <is>
          <t>merged</t>
        </is>
      </c>
      <c r="J1234" t="inlineStr">
        <is>
          <t>e81cc2feee538921a2cd812b6386ffbf1b421a8d</t>
        </is>
      </c>
      <c r="K1234">
        <f>HYPERLINK("http://gitlab.osmosys.co/incident-reporter/incident-reporter-angular-portal/-/merge_requests/3517#note_239515", "Please update the SS for this thread and no other new commits")</f>
        <v/>
      </c>
      <c r="L1234" t="inlineStr">
        <is>
          <t>2025-07-21 19:52:21.605 IST</t>
        </is>
      </c>
      <c r="M1234" t="inlineStr">
        <is>
          <t>Soundariya B</t>
        </is>
      </c>
      <c r="N1234" t="inlineStr">
        <is>
          <t>Yes</t>
        </is>
      </c>
      <c r="O1234" t="inlineStr">
        <is>
          <t>Yes</t>
        </is>
      </c>
      <c r="P1234" t="inlineStr">
        <is>
          <t>Soundariya B</t>
        </is>
      </c>
      <c r="Q1234" t="inlineStr">
        <is>
          <t>Bad</t>
        </is>
      </c>
    </row>
    <row r="1235">
      <c r="A1235" t="inlineStr">
        <is>
          <t>rupam.v</t>
        </is>
      </c>
      <c r="B1235" t="inlineStr">
        <is>
          <t>Rupam Vallecha</t>
        </is>
      </c>
      <c r="C1235" t="inlineStr">
        <is>
          <t>rupam.v@osmosys.co</t>
        </is>
      </c>
      <c r="D1235" t="inlineStr">
        <is>
          <t>incident-reporter</t>
        </is>
      </c>
      <c r="E1235">
        <f>HYPERLINK("http://gitlab.osmosys.co/incident-reporter/incident-reporter-angular-portal", "OQSHA Portal")</f>
        <v/>
      </c>
      <c r="F1235">
        <f>HYPERLINK("http://gitlab.osmosys.co/incident-reporter/incident-reporter-angular-portal/-/merge_requests/3517", "feat: add new columns in task table")</f>
        <v/>
      </c>
      <c r="G1235" t="inlineStr">
        <is>
          <t>feat/add-task-column</t>
        </is>
      </c>
      <c r="H1235" t="inlineStr">
        <is>
          <t>sprint-17</t>
        </is>
      </c>
      <c r="I1235" t="inlineStr">
        <is>
          <t>merged</t>
        </is>
      </c>
      <c r="J1235" t="inlineStr">
        <is>
          <t>27d4f50e71414e8b247ab3a040e1c943c0f47b45</t>
        </is>
      </c>
      <c r="K1235">
        <f>HYPERLINK("http://gitlab.osmosys.co/incident-reporter/incident-reporter-angular-portal/-/merge_requests/3517#note_239527", "Created On must be shown after task ID column which is a idea placement
And in max module the status must be shown before action column
Please fix it.")</f>
        <v/>
      </c>
      <c r="L1235" t="inlineStr">
        <is>
          <t>2025-07-21 20:10:58.412 IST</t>
        </is>
      </c>
      <c r="M1235" t="inlineStr">
        <is>
          <t>Soundariya B</t>
        </is>
      </c>
      <c r="N1235" t="inlineStr">
        <is>
          <t>Yes</t>
        </is>
      </c>
      <c r="O1235" t="inlineStr">
        <is>
          <t>Yes</t>
        </is>
      </c>
      <c r="P1235" t="inlineStr">
        <is>
          <t>Soundariya B</t>
        </is>
      </c>
      <c r="Q1235" t="inlineStr">
        <is>
          <t>Neutral</t>
        </is>
      </c>
    </row>
    <row r="1236">
      <c r="A1236" t="inlineStr">
        <is>
          <t>rupam.v</t>
        </is>
      </c>
      <c r="B1236" t="inlineStr">
        <is>
          <t>Rupam Vallecha</t>
        </is>
      </c>
      <c r="C1236" t="inlineStr">
        <is>
          <t>rupam.v@osmosys.co</t>
        </is>
      </c>
      <c r="D1236" t="inlineStr">
        <is>
          <t>incident-reporter</t>
        </is>
      </c>
      <c r="E1236">
        <f>HYPERLINK("http://gitlab.osmosys.co/incident-reporter/incident-reporter-angular-portal", "OQSHA Portal")</f>
        <v/>
      </c>
      <c r="F1236">
        <f>HYPERLINK("http://gitlab.osmosys.co/incident-reporter/incident-reporter-angular-portal/-/merge_requests/3517", "feat: add new columns in task table")</f>
        <v/>
      </c>
      <c r="G1236" t="inlineStr">
        <is>
          <t>feat/add-task-column</t>
        </is>
      </c>
      <c r="H1236" t="inlineStr">
        <is>
          <t>sprint-17</t>
        </is>
      </c>
      <c r="I1236" t="inlineStr">
        <is>
          <t>merged</t>
        </is>
      </c>
      <c r="J1236" t="inlineStr">
        <is>
          <t>27d4f50e71414e8b247ab3a040e1c943c0f47b45</t>
        </is>
      </c>
      <c r="K1236">
        <f>HYPERLINK("http://gitlab.osmosys.co/incident-reporter/incident-reporter-angular-portal/-/merge_requests/3517#note_239582", "repositioned status.
created on is in this position only in other modules too (mostly)")</f>
        <v/>
      </c>
      <c r="L1236" t="inlineStr">
        <is>
          <t>2025-07-21 22:12:52.850 IST</t>
        </is>
      </c>
      <c r="M1236" t="inlineStr">
        <is>
          <t>Rupam Vallecha</t>
        </is>
      </c>
      <c r="N1236" t="inlineStr">
        <is>
          <t>No</t>
        </is>
      </c>
      <c r="O1236" t="inlineStr">
        <is>
          <t>Yes</t>
        </is>
      </c>
      <c r="P1236" t="inlineStr">
        <is>
          <t>Soundariya B</t>
        </is>
      </c>
      <c r="Q1236" t="inlineStr">
        <is>
          <t>Neutral</t>
        </is>
      </c>
    </row>
    <row r="1237">
      <c r="A1237" t="inlineStr">
        <is>
          <t>rupam.v</t>
        </is>
      </c>
      <c r="B1237" t="inlineStr">
        <is>
          <t>Rupam Vallecha</t>
        </is>
      </c>
      <c r="C1237" t="inlineStr">
        <is>
          <t>rupam.v@osmosys.co</t>
        </is>
      </c>
      <c r="D1237" t="inlineStr">
        <is>
          <t>incident-reporter</t>
        </is>
      </c>
      <c r="E1237">
        <f>HYPERLINK("http://gitlab.osmosys.co/incident-reporter/incident-reporter-angular-portal", "OQSHA Portal")</f>
        <v/>
      </c>
      <c r="F1237">
        <f>HYPERLINK("http://gitlab.osmosys.co/incident-reporter/incident-reporter-angular-portal/-/merge_requests/3517", "feat: add new columns in task table")</f>
        <v/>
      </c>
      <c r="G1237" t="inlineStr">
        <is>
          <t>feat/add-task-column</t>
        </is>
      </c>
      <c r="H1237" t="inlineStr">
        <is>
          <t>sprint-17</t>
        </is>
      </c>
      <c r="I1237" t="inlineStr">
        <is>
          <t>merged</t>
        </is>
      </c>
      <c r="J1237" t="inlineStr">
        <is>
          <t>27d4f50e71414e8b247ab3a040e1c943c0f47b45</t>
        </is>
      </c>
      <c r="K1237">
        <f>HYPERLINK("http://gitlab.osmosys.co/incident-reporter/incident-reporter-angular-portal/-/merge_requests/3517#note_239591", "Ok as per MOC and PSSR its fine for now")</f>
        <v/>
      </c>
      <c r="L1237" t="inlineStr">
        <is>
          <t>2025-07-21 22:21:49.780 IST</t>
        </is>
      </c>
      <c r="M1237" t="inlineStr">
        <is>
          <t>Soundariya B</t>
        </is>
      </c>
      <c r="N1237" t="inlineStr">
        <is>
          <t>Yes</t>
        </is>
      </c>
      <c r="O1237" t="inlineStr">
        <is>
          <t>Yes</t>
        </is>
      </c>
      <c r="P1237" t="inlineStr">
        <is>
          <t>Soundariya B</t>
        </is>
      </c>
      <c r="Q1237" t="inlineStr">
        <is>
          <t>Neutral</t>
        </is>
      </c>
    </row>
    <row r="1238">
      <c r="A1238" t="inlineStr">
        <is>
          <t>rupam.v</t>
        </is>
      </c>
      <c r="B1238" t="inlineStr">
        <is>
          <t>Rupam Vallecha</t>
        </is>
      </c>
      <c r="C1238" t="inlineStr">
        <is>
          <t>rupam.v@osmosys.co</t>
        </is>
      </c>
      <c r="D1238" t="inlineStr">
        <is>
          <t>incident-reporter</t>
        </is>
      </c>
      <c r="E1238">
        <f>HYPERLINK("http://gitlab.osmosys.co/incident-reporter/incident-reporter-angular-portal", "OQSHA Portal")</f>
        <v/>
      </c>
      <c r="F1238">
        <f>HYPERLINK("http://gitlab.osmosys.co/incident-reporter/incident-reporter-angular-portal/-/merge_requests/3517", "feat: add new columns in task table")</f>
        <v/>
      </c>
      <c r="G1238" t="inlineStr">
        <is>
          <t>feat/add-task-column</t>
        </is>
      </c>
      <c r="H1238" t="inlineStr">
        <is>
          <t>sprint-17</t>
        </is>
      </c>
      <c r="I1238" t="inlineStr">
        <is>
          <t>merged</t>
        </is>
      </c>
      <c r="J1238" t="inlineStr">
        <is>
          <t>e32be75e401a5b8e91043675e2365c678287c9b5</t>
        </is>
      </c>
      <c r="K1238">
        <f>HYPERLINK("http://gitlab.osmosys.co/incident-reporter/incident-reporter-angular-portal/-/merge_requests/3517#note_239528", "It should be OVER_DUE_DAYS")</f>
        <v/>
      </c>
      <c r="L1238" t="inlineStr">
        <is>
          <t>2025-07-21 20:10:58.491 IST</t>
        </is>
      </c>
      <c r="M1238" t="inlineStr">
        <is>
          <t>Soundariya B</t>
        </is>
      </c>
      <c r="N1238" t="inlineStr">
        <is>
          <t>Yes</t>
        </is>
      </c>
      <c r="O1238" t="inlineStr">
        <is>
          <t>Yes</t>
        </is>
      </c>
      <c r="P1238" t="inlineStr">
        <is>
          <t>Soundariya B</t>
        </is>
      </c>
      <c r="Q1238" t="inlineStr">
        <is>
          <t>Bad</t>
        </is>
      </c>
    </row>
    <row r="1239">
      <c r="A1239" t="inlineStr">
        <is>
          <t>rupam.v</t>
        </is>
      </c>
      <c r="B1239" t="inlineStr">
        <is>
          <t>Rupam Vallecha</t>
        </is>
      </c>
      <c r="C1239" t="inlineStr">
        <is>
          <t>rupam.v@osmosys.co</t>
        </is>
      </c>
      <c r="D1239" t="inlineStr">
        <is>
          <t>incident-reporter</t>
        </is>
      </c>
      <c r="E1239">
        <f>HYPERLINK("http://gitlab.osmosys.co/incident-reporter/incident-reporter-angular-portal", "OQSHA Portal")</f>
        <v/>
      </c>
      <c r="F1239">
        <f>HYPERLINK("http://gitlab.osmosys.co/incident-reporter/incident-reporter-angular-portal/-/merge_requests/3517", "feat: add new columns in task table")</f>
        <v/>
      </c>
      <c r="G1239" t="inlineStr">
        <is>
          <t>feat/add-task-column</t>
        </is>
      </c>
      <c r="H1239" t="inlineStr">
        <is>
          <t>sprint-17</t>
        </is>
      </c>
      <c r="I1239" t="inlineStr">
        <is>
          <t>merged</t>
        </is>
      </c>
      <c r="J1239" t="inlineStr">
        <is>
          <t>e32be75e401a5b8e91043675e2365c678287c9b5</t>
        </is>
      </c>
      <c r="K1239">
        <f>HYPERLINK("http://gitlab.osmosys.co/incident-reporter/incident-reporter-angular-portal/-/merge_requests/3517#note_239545", "done")</f>
        <v/>
      </c>
      <c r="L1239" t="inlineStr">
        <is>
          <t>2025-07-21 20:16:21.544 IST</t>
        </is>
      </c>
      <c r="M1239" t="inlineStr">
        <is>
          <t>Rupam Vallecha</t>
        </is>
      </c>
      <c r="N1239" t="inlineStr">
        <is>
          <t>No</t>
        </is>
      </c>
      <c r="O1239" t="inlineStr">
        <is>
          <t>Yes</t>
        </is>
      </c>
      <c r="P1239" t="inlineStr">
        <is>
          <t>Soundariya B</t>
        </is>
      </c>
      <c r="Q1239" t="inlineStr">
        <is>
          <t>Bad</t>
        </is>
      </c>
    </row>
    <row r="1240">
      <c r="A1240" t="inlineStr">
        <is>
          <t>rupam.v</t>
        </is>
      </c>
      <c r="B1240" t="inlineStr">
        <is>
          <t>Rupam Vallecha</t>
        </is>
      </c>
      <c r="C1240" t="inlineStr">
        <is>
          <t>rupam.v@osmosys.co</t>
        </is>
      </c>
      <c r="D1240" t="inlineStr">
        <is>
          <t>incident-reporter</t>
        </is>
      </c>
      <c r="E1240">
        <f>HYPERLINK("http://gitlab.osmosys.co/incident-reporter/incident-reporter-angular-portal", "OQSHA Portal")</f>
        <v/>
      </c>
      <c r="F1240">
        <f>HYPERLINK("http://gitlab.osmosys.co/incident-reporter/incident-reporter-angular-portal/-/merge_requests/3517", "feat: add new columns in task table")</f>
        <v/>
      </c>
      <c r="G1240" t="inlineStr">
        <is>
          <t>feat/add-task-column</t>
        </is>
      </c>
      <c r="H1240" t="inlineStr">
        <is>
          <t>sprint-17</t>
        </is>
      </c>
      <c r="I1240" t="inlineStr">
        <is>
          <t>merged</t>
        </is>
      </c>
      <c r="J1240" t="inlineStr">
        <is>
          <t>1e6d8c572c54683f5f23011e93bc673b7447a271</t>
        </is>
      </c>
      <c r="K1240">
        <f>HYPERLINK("http://gitlab.osmosys.co/incident-reporter/incident-reporter-angular-portal/-/merge_requests/3517#note_239529", "Rename it - overDueDays")</f>
        <v/>
      </c>
      <c r="L1240" t="inlineStr">
        <is>
          <t>2025-07-21 20:10:58.583 IST</t>
        </is>
      </c>
      <c r="M1240" t="inlineStr">
        <is>
          <t>Soundariya B</t>
        </is>
      </c>
      <c r="N1240" t="inlineStr">
        <is>
          <t>Yes</t>
        </is>
      </c>
      <c r="O1240" t="inlineStr">
        <is>
          <t>Yes</t>
        </is>
      </c>
      <c r="P1240" t="inlineStr">
        <is>
          <t>Soundariya B</t>
        </is>
      </c>
      <c r="Q1240" t="inlineStr">
        <is>
          <t>Bad</t>
        </is>
      </c>
    </row>
    <row r="1241">
      <c r="A1241" t="inlineStr">
        <is>
          <t>rupam.v</t>
        </is>
      </c>
      <c r="B1241" t="inlineStr">
        <is>
          <t>Rupam Vallecha</t>
        </is>
      </c>
      <c r="C1241" t="inlineStr">
        <is>
          <t>rupam.v@osmosys.co</t>
        </is>
      </c>
      <c r="D1241" t="inlineStr">
        <is>
          <t>incident-reporter</t>
        </is>
      </c>
      <c r="E1241">
        <f>HYPERLINK("http://gitlab.osmosys.co/incident-reporter/incident-reporter-angular-portal", "OQSHA Portal")</f>
        <v/>
      </c>
      <c r="F1241">
        <f>HYPERLINK("http://gitlab.osmosys.co/incident-reporter/incident-reporter-angular-portal/-/merge_requests/3517", "feat: add new columns in task table")</f>
        <v/>
      </c>
      <c r="G1241" t="inlineStr">
        <is>
          <t>feat/add-task-column</t>
        </is>
      </c>
      <c r="H1241" t="inlineStr">
        <is>
          <t>sprint-17</t>
        </is>
      </c>
      <c r="I1241" t="inlineStr">
        <is>
          <t>merged</t>
        </is>
      </c>
      <c r="J1241" t="inlineStr">
        <is>
          <t>1e6d8c572c54683f5f23011e93bc673b7447a271</t>
        </is>
      </c>
      <c r="K1241">
        <f>HYPERLINK("http://gitlab.osmosys.co/incident-reporter/incident-reporter-angular-portal/-/merge_requests/3517#note_239544", "done")</f>
        <v/>
      </c>
      <c r="L1241" t="inlineStr">
        <is>
          <t>2025-07-21 20:16:18.150 IST</t>
        </is>
      </c>
      <c r="M1241" t="inlineStr">
        <is>
          <t>Rupam Vallecha</t>
        </is>
      </c>
      <c r="N1241" t="inlineStr">
        <is>
          <t>No</t>
        </is>
      </c>
      <c r="O1241" t="inlineStr">
        <is>
          <t>Yes</t>
        </is>
      </c>
      <c r="P1241" t="inlineStr">
        <is>
          <t>Soundariya B</t>
        </is>
      </c>
      <c r="Q1241" t="inlineStr">
        <is>
          <t>Bad</t>
        </is>
      </c>
    </row>
    <row r="1242">
      <c r="A1242" t="inlineStr">
        <is>
          <t>rupam.v</t>
        </is>
      </c>
      <c r="B1242" t="inlineStr">
        <is>
          <t>Rupam Vallecha</t>
        </is>
      </c>
      <c r="C1242" t="inlineStr">
        <is>
          <t>rupam.v@osmosys.co</t>
        </is>
      </c>
      <c r="D1242" t="inlineStr">
        <is>
          <t>incident-reporter</t>
        </is>
      </c>
      <c r="E1242">
        <f>HYPERLINK("http://gitlab.osmosys.co/incident-reporter/incident-reporter-angular-portal", "OQSHA Portal")</f>
        <v/>
      </c>
      <c r="F1242">
        <f>HYPERLINK("http://gitlab.osmosys.co/incident-reporter/incident-reporter-angular-portal/-/merge_requests/3517", "feat: add new columns in task table")</f>
        <v/>
      </c>
      <c r="G1242" t="inlineStr">
        <is>
          <t>feat/add-task-column</t>
        </is>
      </c>
      <c r="H1242" t="inlineStr">
        <is>
          <t>sprint-17</t>
        </is>
      </c>
      <c r="I1242" t="inlineStr">
        <is>
          <t>merged</t>
        </is>
      </c>
      <c r="J1242" t="inlineStr">
        <is>
          <t>f81ff4f68b504cad16133a0e4ff01a153da7b69a</t>
        </is>
      </c>
      <c r="K1242">
        <f>HYPERLINK("http://gitlab.osmosys.co/incident-reporter/incident-reporter-angular-portal/-/merge_requests/3517#note_239530", "Why we are using somewhere PascalCase and some where camelCase? why here inconsistency?")</f>
        <v/>
      </c>
      <c r="L1242" t="inlineStr">
        <is>
          <t>2025-07-21 20:10:58.638 IST</t>
        </is>
      </c>
      <c r="M1242" t="inlineStr">
        <is>
          <t>Soundariya B</t>
        </is>
      </c>
      <c r="N1242" t="inlineStr">
        <is>
          <t>Yes</t>
        </is>
      </c>
      <c r="O1242" t="inlineStr">
        <is>
          <t>Yes</t>
        </is>
      </c>
      <c r="P1242" t="inlineStr">
        <is>
          <t>Soundariya B</t>
        </is>
      </c>
      <c r="Q1242" t="inlineStr">
        <is>
          <t>Neutral</t>
        </is>
      </c>
    </row>
    <row r="1243">
      <c r="A1243" t="inlineStr">
        <is>
          <t>rupam.v</t>
        </is>
      </c>
      <c r="B1243" t="inlineStr">
        <is>
          <t>Rupam Vallecha</t>
        </is>
      </c>
      <c r="C1243" t="inlineStr">
        <is>
          <t>rupam.v@osmosys.co</t>
        </is>
      </c>
      <c r="D1243" t="inlineStr">
        <is>
          <t>incident-reporter</t>
        </is>
      </c>
      <c r="E1243">
        <f>HYPERLINK("http://gitlab.osmosys.co/incident-reporter/incident-reporter-angular-portal", "OQSHA Portal")</f>
        <v/>
      </c>
      <c r="F1243">
        <f>HYPERLINK("http://gitlab.osmosys.co/incident-reporter/incident-reporter-angular-portal/-/merge_requests/3517", "feat: add new columns in task table")</f>
        <v/>
      </c>
      <c r="G1243" t="inlineStr">
        <is>
          <t>feat/add-task-column</t>
        </is>
      </c>
      <c r="H1243" t="inlineStr">
        <is>
          <t>sprint-17</t>
        </is>
      </c>
      <c r="I1243" t="inlineStr">
        <is>
          <t>merged</t>
        </is>
      </c>
      <c r="J1243" t="inlineStr">
        <is>
          <t>f81ff4f68b504cad16133a0e4ff01a153da7b69a</t>
        </is>
      </c>
      <c r="K1243">
        <f>HYPERLINK("http://gitlab.osmosys.co/incident-reporter/incident-reporter-angular-portal/-/merge_requests/3517#note_239542", "i added everything in pascal case, dont know about rest of the code")</f>
        <v/>
      </c>
      <c r="L1243" t="inlineStr">
        <is>
          <t>2025-07-21 20:14:48.789 IST</t>
        </is>
      </c>
      <c r="M1243" t="inlineStr">
        <is>
          <t>Rupam Vallecha</t>
        </is>
      </c>
      <c r="N1243" t="inlineStr">
        <is>
          <t>No</t>
        </is>
      </c>
      <c r="O1243" t="inlineStr">
        <is>
          <t>Yes</t>
        </is>
      </c>
      <c r="P1243" t="inlineStr">
        <is>
          <t>Soundariya B</t>
        </is>
      </c>
      <c r="Q1243" t="inlineStr">
        <is>
          <t>Neutral</t>
        </is>
      </c>
    </row>
    <row r="1244">
      <c r="A1244" t="inlineStr">
        <is>
          <t>rupam.v</t>
        </is>
      </c>
      <c r="B1244" t="inlineStr">
        <is>
          <t>Rupam Vallecha</t>
        </is>
      </c>
      <c r="C1244" t="inlineStr">
        <is>
          <t>rupam.v@osmosys.co</t>
        </is>
      </c>
      <c r="D1244" t="inlineStr">
        <is>
          <t>incident-reporter</t>
        </is>
      </c>
      <c r="E1244">
        <f>HYPERLINK("http://gitlab.osmosys.co/incident-reporter/incident-reporter-angular-portal", "OQSHA Portal")</f>
        <v/>
      </c>
      <c r="F1244">
        <f>HYPERLINK("http://gitlab.osmosys.co/incident-reporter/incident-reporter-angular-portal/-/merge_requests/3517", "feat: add new columns in task table")</f>
        <v/>
      </c>
      <c r="G1244" t="inlineStr">
        <is>
          <t>feat/add-task-column</t>
        </is>
      </c>
      <c r="H1244" t="inlineStr">
        <is>
          <t>sprint-17</t>
        </is>
      </c>
      <c r="I1244" t="inlineStr">
        <is>
          <t>merged</t>
        </is>
      </c>
      <c r="J1244" t="inlineStr">
        <is>
          <t>b6ddc1cb2c0b4295b57bdce4b1ab547a0d957592</t>
        </is>
      </c>
      <c r="K1244">
        <f>HYPERLINK("http://gitlab.osmosys.co/incident-reporter/incident-reporter-angular-portal/-/merge_requests/3517#note_239531", "This needs to be improved as it's bad coding and continuously people are following and code repetition")</f>
        <v/>
      </c>
      <c r="L1244" t="inlineStr">
        <is>
          <t>2025-07-21 20:10:58.697 IST</t>
        </is>
      </c>
      <c r="M1244" t="inlineStr">
        <is>
          <t>Soundariya B</t>
        </is>
      </c>
      <c r="N1244" t="inlineStr">
        <is>
          <t>Yes</t>
        </is>
      </c>
      <c r="O1244" t="inlineStr">
        <is>
          <t>Yes</t>
        </is>
      </c>
      <c r="P1244" t="inlineStr">
        <is>
          <t>Soundariya B</t>
        </is>
      </c>
      <c r="Q1244" t="inlineStr">
        <is>
          <t>Bad</t>
        </is>
      </c>
    </row>
    <row r="1245">
      <c r="A1245" t="inlineStr">
        <is>
          <t>rupam.v</t>
        </is>
      </c>
      <c r="B1245" t="inlineStr">
        <is>
          <t>Rupam Vallecha</t>
        </is>
      </c>
      <c r="C1245" t="inlineStr">
        <is>
          <t>rupam.v@osmosys.co</t>
        </is>
      </c>
      <c r="D1245" t="inlineStr">
        <is>
          <t>incident-reporter</t>
        </is>
      </c>
      <c r="E1245">
        <f>HYPERLINK("http://gitlab.osmosys.co/incident-reporter/incident-reporter-angular-portal", "OQSHA Portal")</f>
        <v/>
      </c>
      <c r="F1245">
        <f>HYPERLINK("http://gitlab.osmosys.co/incident-reporter/incident-reporter-angular-portal/-/merge_requests/3517", "feat: add new columns in task table")</f>
        <v/>
      </c>
      <c r="G1245" t="inlineStr">
        <is>
          <t>feat/add-task-column</t>
        </is>
      </c>
      <c r="H1245" t="inlineStr">
        <is>
          <t>sprint-17</t>
        </is>
      </c>
      <c r="I1245" t="inlineStr">
        <is>
          <t>merged</t>
        </is>
      </c>
      <c r="J1245" t="inlineStr">
        <is>
          <t>b6ddc1cb2c0b4295b57bdce4b1ab547a0d957592</t>
        </is>
      </c>
      <c r="K1245">
        <f>HYPERLINK("http://gitlab.osmosys.co/incident-reporter/incident-reporter-angular-portal/-/merge_requests/3517#note_239592", "As we have old code as well so need this as improvement and dev changed the names as like others")</f>
        <v/>
      </c>
      <c r="L1245" t="inlineStr">
        <is>
          <t>2025-07-21 22:24:30.057 IST</t>
        </is>
      </c>
      <c r="M1245" t="inlineStr">
        <is>
          <t>Soundariya B</t>
        </is>
      </c>
      <c r="N1245" t="inlineStr">
        <is>
          <t>Yes</t>
        </is>
      </c>
      <c r="O1245" t="inlineStr">
        <is>
          <t>Yes</t>
        </is>
      </c>
      <c r="P1245" t="inlineStr">
        <is>
          <t>Soundariya B</t>
        </is>
      </c>
      <c r="Q1245" t="inlineStr">
        <is>
          <t>Bad</t>
        </is>
      </c>
    </row>
    <row r="1246">
      <c r="A1246" t="inlineStr">
        <is>
          <t>rupam.v</t>
        </is>
      </c>
      <c r="B1246" t="inlineStr">
        <is>
          <t>Rupam Vallecha</t>
        </is>
      </c>
      <c r="C1246" t="inlineStr">
        <is>
          <t>rupam.v@osmosys.co</t>
        </is>
      </c>
      <c r="D1246" t="inlineStr">
        <is>
          <t>incident-reporter</t>
        </is>
      </c>
      <c r="E1246">
        <f>HYPERLINK("http://gitlab.osmosys.co/incident-reporter/incident-reporter-angular-portal", "OQSHA Portal")</f>
        <v/>
      </c>
      <c r="F1246">
        <f>HYPERLINK("http://gitlab.osmosys.co/incident-reporter/incident-reporter-angular-portal/-/merge_requests/3517", "feat: add new columns in task table")</f>
        <v/>
      </c>
      <c r="G1246" t="inlineStr">
        <is>
          <t>feat/add-task-column</t>
        </is>
      </c>
      <c r="H1246" t="inlineStr">
        <is>
          <t>sprint-17</t>
        </is>
      </c>
      <c r="I1246" t="inlineStr">
        <is>
          <t>merged</t>
        </is>
      </c>
      <c r="J1246" t="inlineStr">
        <is>
          <t>e9d55b5eff73b8382ad811d48ea730a4770da16b</t>
        </is>
      </c>
      <c r="K1246">
        <f>HYPERLINK("http://gitlab.osmosys.co/incident-reporter/incident-reporter-angular-portal/-/merge_requests/3517#note_239532", "It should be the Overdue day(s) as because it will give idea to user and clear that how many days instead not a month or year dues")</f>
        <v/>
      </c>
      <c r="L1246" t="inlineStr">
        <is>
          <t>2025-07-21 20:10:58.793 IST</t>
        </is>
      </c>
      <c r="M1246" t="inlineStr">
        <is>
          <t>Soundariya B</t>
        </is>
      </c>
      <c r="N1246" t="inlineStr">
        <is>
          <t>Yes</t>
        </is>
      </c>
      <c r="O1246" t="inlineStr">
        <is>
          <t>Yes</t>
        </is>
      </c>
      <c r="P1246" t="inlineStr">
        <is>
          <t>Soundariya B</t>
        </is>
      </c>
      <c r="Q1246" t="inlineStr">
        <is>
          <t>Neutral</t>
        </is>
      </c>
    </row>
    <row r="1247">
      <c r="A1247" t="inlineStr">
        <is>
          <t>rupam.v</t>
        </is>
      </c>
      <c r="B1247" t="inlineStr">
        <is>
          <t>Rupam Vallecha</t>
        </is>
      </c>
      <c r="C1247" t="inlineStr">
        <is>
          <t>rupam.v@osmosys.co</t>
        </is>
      </c>
      <c r="D1247" t="inlineStr">
        <is>
          <t>incident-reporter</t>
        </is>
      </c>
      <c r="E1247">
        <f>HYPERLINK("http://gitlab.osmosys.co/incident-reporter/incident-reporter-angular-portal", "OQSHA Portal")</f>
        <v/>
      </c>
      <c r="F1247">
        <f>HYPERLINK("http://gitlab.osmosys.co/incident-reporter/incident-reporter-angular-portal/-/merge_requests/3517", "feat: add new columns in task table")</f>
        <v/>
      </c>
      <c r="G1247" t="inlineStr">
        <is>
          <t>feat/add-task-column</t>
        </is>
      </c>
      <c r="H1247" t="inlineStr">
        <is>
          <t>sprint-17</t>
        </is>
      </c>
      <c r="I1247" t="inlineStr">
        <is>
          <t>merged</t>
        </is>
      </c>
      <c r="J1247" t="inlineStr">
        <is>
          <t>e9d55b5eff73b8382ad811d48ea730a4770da16b</t>
        </is>
      </c>
      <c r="K1247">
        <f>HYPERLINK("http://gitlab.osmosys.co/incident-reporter/incident-reporter-angular-portal/-/merge_requests/3517#note_239543", "task description says overdue")</f>
        <v/>
      </c>
      <c r="L1247" t="inlineStr">
        <is>
          <t>2025-07-21 20:15:24.649 IST</t>
        </is>
      </c>
      <c r="M1247" t="inlineStr">
        <is>
          <t>Rupam Vallecha</t>
        </is>
      </c>
      <c r="N1247" t="inlineStr">
        <is>
          <t>No</t>
        </is>
      </c>
      <c r="O1247" t="inlineStr">
        <is>
          <t>Yes</t>
        </is>
      </c>
      <c r="P1247" t="inlineStr">
        <is>
          <t>Soundariya B</t>
        </is>
      </c>
      <c r="Q1247" t="inlineStr">
        <is>
          <t>Neutral</t>
        </is>
      </c>
    </row>
    <row r="1248">
      <c r="A1248" t="inlineStr">
        <is>
          <t>rupam.v</t>
        </is>
      </c>
      <c r="B1248" t="inlineStr">
        <is>
          <t>Rupam Vallecha</t>
        </is>
      </c>
      <c r="C1248" t="inlineStr">
        <is>
          <t>rupam.v@osmosys.co</t>
        </is>
      </c>
      <c r="D1248" t="inlineStr">
        <is>
          <t>incident-reporter</t>
        </is>
      </c>
      <c r="E1248">
        <f>HYPERLINK("http://gitlab.osmosys.co/incident-reporter/incident-reporter-angular-portal", "OQSHA Portal")</f>
        <v/>
      </c>
      <c r="F1248">
        <f>HYPERLINK("http://gitlab.osmosys.co/incident-reporter/incident-reporter-angular-portal/-/merge_requests/3498", "feat:  make due date optional in inspection")</f>
        <v/>
      </c>
      <c r="G1248" t="inlineStr">
        <is>
          <t>fix/date-format</t>
        </is>
      </c>
      <c r="H1248" t="inlineStr">
        <is>
          <t>sprint-17</t>
        </is>
      </c>
      <c r="I1248" t="inlineStr">
        <is>
          <t>merged</t>
        </is>
      </c>
      <c r="J1248" t="inlineStr"/>
      <c r="K1248" t="inlineStr"/>
      <c r="L1248" t="inlineStr"/>
      <c r="M1248" t="inlineStr"/>
      <c r="N1248" t="inlineStr"/>
      <c r="O1248" t="inlineStr"/>
      <c r="P1248" t="inlineStr"/>
      <c r="Q1248" t="inlineStr"/>
    </row>
    <row r="1249">
      <c r="A1249" t="inlineStr">
        <is>
          <t>rupam.v</t>
        </is>
      </c>
      <c r="B1249" t="inlineStr">
        <is>
          <t>Rupam Vallecha</t>
        </is>
      </c>
      <c r="C1249" t="inlineStr">
        <is>
          <t>rupam.v@osmosys.co</t>
        </is>
      </c>
      <c r="D1249" t="inlineStr">
        <is>
          <t>incident-reporter</t>
        </is>
      </c>
      <c r="E1249">
        <f>HYPERLINK("http://gitlab.osmosys.co/incident-reporter/incident-reporter-angular-portal", "OQSHA Portal")</f>
        <v/>
      </c>
      <c r="F1249">
        <f>HYPERLINK("http://gitlab.osmosys.co/incident-reporter/incident-reporter-angular-portal/-/merge_requests/3486", "fix: update mandatory checks count flag")</f>
        <v/>
      </c>
      <c r="G1249" t="inlineStr">
        <is>
          <t>fix/change-department-api</t>
        </is>
      </c>
      <c r="H1249" t="inlineStr">
        <is>
          <t>sprint-17</t>
        </is>
      </c>
      <c r="I1249" t="inlineStr">
        <is>
          <t>merged</t>
        </is>
      </c>
      <c r="J1249" t="inlineStr"/>
      <c r="K1249" t="inlineStr"/>
      <c r="L1249" t="inlineStr"/>
      <c r="M1249" t="inlineStr"/>
      <c r="N1249" t="inlineStr"/>
      <c r="O1249" t="inlineStr"/>
      <c r="P1249" t="inlineStr"/>
      <c r="Q1249" t="inlineStr"/>
    </row>
    <row r="1250">
      <c r="A1250" t="inlineStr">
        <is>
          <t>rupam.v</t>
        </is>
      </c>
      <c r="B1250" t="inlineStr">
        <is>
          <t>Rupam Vallecha</t>
        </is>
      </c>
      <c r="C1250" t="inlineStr">
        <is>
          <t>rupam.v@osmosys.co</t>
        </is>
      </c>
      <c r="D1250" t="inlineStr">
        <is>
          <t>incident-reporter</t>
        </is>
      </c>
      <c r="E1250">
        <f>HYPERLINK("http://gitlab.osmosys.co/incident-reporter/incident-reporter-angular-portal", "OQSHA Portal")</f>
        <v/>
      </c>
      <c r="F1250">
        <f>HYPERLINK("http://gitlab.osmosys.co/incident-reporter/incident-reporter-angular-portal/-/merge_requests/3439", "feat: enhance inspection management with draft and publish")</f>
        <v/>
      </c>
      <c r="G1250" t="inlineStr">
        <is>
          <t>feat/save-as-draft-inspection</t>
        </is>
      </c>
      <c r="H1250" t="inlineStr">
        <is>
          <t>sprint-17</t>
        </is>
      </c>
      <c r="I1250" t="inlineStr">
        <is>
          <t>merged</t>
        </is>
      </c>
      <c r="J1250" t="inlineStr">
        <is>
          <t>17d9b346231c895269e9d14e5a4738c0148d59f9</t>
        </is>
      </c>
      <c r="K1250">
        <f>HYPERLINK("http://gitlab.osmosys.co/incident-reporter/incident-reporter-angular-portal/-/merge_requests/3439#note_237157", "Pipeline failure")</f>
        <v/>
      </c>
      <c r="L1250" t="inlineStr">
        <is>
          <t>2025-07-15 22:58:18.450 IST</t>
        </is>
      </c>
      <c r="M1250" t="inlineStr">
        <is>
          <t>Soundariya B</t>
        </is>
      </c>
      <c r="N1250" t="inlineStr">
        <is>
          <t>Yes</t>
        </is>
      </c>
      <c r="O1250" t="inlineStr">
        <is>
          <t>Yes</t>
        </is>
      </c>
      <c r="P1250" t="inlineStr">
        <is>
          <t>Soundariya B</t>
        </is>
      </c>
      <c r="Q1250" t="inlineStr">
        <is>
          <t>Neutral</t>
        </is>
      </c>
    </row>
    <row r="1251">
      <c r="A1251" t="inlineStr">
        <is>
          <t>rupam.v</t>
        </is>
      </c>
      <c r="B1251" t="inlineStr">
        <is>
          <t>Rupam Vallecha</t>
        </is>
      </c>
      <c r="C1251" t="inlineStr">
        <is>
          <t>rupam.v@osmosys.co</t>
        </is>
      </c>
      <c r="D1251" t="inlineStr">
        <is>
          <t>incident-reporter</t>
        </is>
      </c>
      <c r="E1251">
        <f>HYPERLINK("http://gitlab.osmosys.co/incident-reporter/incident-reporter-angular-portal", "OQSHA Portal")</f>
        <v/>
      </c>
      <c r="F1251">
        <f>HYPERLINK("http://gitlab.osmosys.co/incident-reporter/incident-reporter-angular-portal/-/merge_requests/3439", "feat: enhance inspection management with draft and publish")</f>
        <v/>
      </c>
      <c r="G1251" t="inlineStr">
        <is>
          <t>feat/save-as-draft-inspection</t>
        </is>
      </c>
      <c r="H1251" t="inlineStr">
        <is>
          <t>sprint-17</t>
        </is>
      </c>
      <c r="I1251" t="inlineStr">
        <is>
          <t>merged</t>
        </is>
      </c>
      <c r="J1251" t="inlineStr">
        <is>
          <t>17d9b346231c895269e9d14e5a4738c0148d59f9</t>
        </is>
      </c>
      <c r="K1251">
        <f>HYPERLINK("http://gitlab.osmosys.co/incident-reporter/incident-reporter-angular-portal/-/merge_requests/3439#note_237276", "I submitted PR only after it got passed")</f>
        <v/>
      </c>
      <c r="L1251" t="inlineStr">
        <is>
          <t>2025-07-16 10:33:13.519 IST</t>
        </is>
      </c>
      <c r="M1251" t="inlineStr">
        <is>
          <t>Rupam Vallecha</t>
        </is>
      </c>
      <c r="N1251" t="inlineStr">
        <is>
          <t>No</t>
        </is>
      </c>
      <c r="O1251" t="inlineStr">
        <is>
          <t>Yes</t>
        </is>
      </c>
      <c r="P1251" t="inlineStr">
        <is>
          <t>Soundariya B</t>
        </is>
      </c>
      <c r="Q1251" t="inlineStr">
        <is>
          <t>Neutral</t>
        </is>
      </c>
    </row>
    <row r="1252">
      <c r="A1252" t="inlineStr">
        <is>
          <t>rupam.v</t>
        </is>
      </c>
      <c r="B1252" t="inlineStr">
        <is>
          <t>Rupam Vallecha</t>
        </is>
      </c>
      <c r="C1252" t="inlineStr">
        <is>
          <t>rupam.v@osmosys.co</t>
        </is>
      </c>
      <c r="D1252" t="inlineStr">
        <is>
          <t>incident-reporter</t>
        </is>
      </c>
      <c r="E1252">
        <f>HYPERLINK("http://gitlab.osmosys.co/incident-reporter/incident-reporter-angular-portal", "OQSHA Portal")</f>
        <v/>
      </c>
      <c r="F1252">
        <f>HYPERLINK("http://gitlab.osmosys.co/incident-reporter/incident-reporter-angular-portal/-/merge_requests/3439", "feat: enhance inspection management with draft and publish")</f>
        <v/>
      </c>
      <c r="G1252" t="inlineStr">
        <is>
          <t>feat/save-as-draft-inspection</t>
        </is>
      </c>
      <c r="H1252" t="inlineStr">
        <is>
          <t>sprint-17</t>
        </is>
      </c>
      <c r="I1252" t="inlineStr">
        <is>
          <t>merged</t>
        </is>
      </c>
      <c r="J1252" t="inlineStr">
        <is>
          <t>ab72657a770cc4f9dad7fa0d31b5f8a8361e8059</t>
        </is>
      </c>
      <c r="K1252">
        <f>HYPERLINK("http://gitlab.osmosys.co/incident-reporter/incident-reporter-angular-portal/-/merge_requests/3439#note_237159", "Why these changes are removed? It not related to task or not match with PR title")</f>
        <v/>
      </c>
      <c r="L1252" t="inlineStr">
        <is>
          <t>2025-07-15 22:58:18.567 IST</t>
        </is>
      </c>
      <c r="M1252" t="inlineStr">
        <is>
          <t>Soundariya B</t>
        </is>
      </c>
      <c r="N1252" t="inlineStr">
        <is>
          <t>Yes</t>
        </is>
      </c>
      <c r="O1252" t="inlineStr">
        <is>
          <t>Yes</t>
        </is>
      </c>
      <c r="P1252" t="inlineStr">
        <is>
          <t>Soundariya B</t>
        </is>
      </c>
      <c r="Q1252" t="inlineStr">
        <is>
          <t>Bad</t>
        </is>
      </c>
    </row>
    <row r="1253">
      <c r="A1253" t="inlineStr">
        <is>
          <t>rupam.v</t>
        </is>
      </c>
      <c r="B1253" t="inlineStr">
        <is>
          <t>Rupam Vallecha</t>
        </is>
      </c>
      <c r="C1253" t="inlineStr">
        <is>
          <t>rupam.v@osmosys.co</t>
        </is>
      </c>
      <c r="D1253" t="inlineStr">
        <is>
          <t>incident-reporter</t>
        </is>
      </c>
      <c r="E1253">
        <f>HYPERLINK("http://gitlab.osmosys.co/incident-reporter/incident-reporter-angular-portal", "OQSHA Portal")</f>
        <v/>
      </c>
      <c r="F1253">
        <f>HYPERLINK("http://gitlab.osmosys.co/incident-reporter/incident-reporter-angular-portal/-/merge_requests/3439", "feat: enhance inspection management with draft and publish")</f>
        <v/>
      </c>
      <c r="G1253" t="inlineStr">
        <is>
          <t>feat/save-as-draft-inspection</t>
        </is>
      </c>
      <c r="H1253" t="inlineStr">
        <is>
          <t>sprint-17</t>
        </is>
      </c>
      <c r="I1253" t="inlineStr">
        <is>
          <t>merged</t>
        </is>
      </c>
      <c r="J1253" t="inlineStr">
        <is>
          <t>ab72657a770cc4f9dad7fa0d31b5f8a8361e8059</t>
        </is>
      </c>
      <c r="K1253">
        <f>HYPERLINK("http://gitlab.osmosys.co/incident-reporter/incident-reporter-angular-portal/-/merge_requests/3439#note_237278", "These are required. whoever worked on this, missed it")</f>
        <v/>
      </c>
      <c r="L1253" t="inlineStr">
        <is>
          <t>2025-07-16 10:34:38.468 IST</t>
        </is>
      </c>
      <c r="M1253" t="inlineStr">
        <is>
          <t>Rupam Vallecha</t>
        </is>
      </c>
      <c r="N1253" t="inlineStr">
        <is>
          <t>No</t>
        </is>
      </c>
      <c r="O1253" t="inlineStr">
        <is>
          <t>Yes</t>
        </is>
      </c>
      <c r="P1253" t="inlineStr">
        <is>
          <t>Soundariya B</t>
        </is>
      </c>
      <c r="Q1253" t="inlineStr">
        <is>
          <t>Bad</t>
        </is>
      </c>
    </row>
    <row r="1254">
      <c r="A1254" t="inlineStr">
        <is>
          <t>rupam.v</t>
        </is>
      </c>
      <c r="B1254" t="inlineStr">
        <is>
          <t>Rupam Vallecha</t>
        </is>
      </c>
      <c r="C1254" t="inlineStr">
        <is>
          <t>rupam.v@osmosys.co</t>
        </is>
      </c>
      <c r="D1254" t="inlineStr">
        <is>
          <t>incident-reporter</t>
        </is>
      </c>
      <c r="E1254">
        <f>HYPERLINK("http://gitlab.osmosys.co/incident-reporter/incident-reporter-angular-portal", "OQSHA Portal")</f>
        <v/>
      </c>
      <c r="F1254">
        <f>HYPERLINK("http://gitlab.osmosys.co/incident-reporter/incident-reporter-angular-portal/-/merge_requests/3439", "feat: enhance inspection management with draft and publish")</f>
        <v/>
      </c>
      <c r="G1254" t="inlineStr">
        <is>
          <t>feat/save-as-draft-inspection</t>
        </is>
      </c>
      <c r="H1254" t="inlineStr">
        <is>
          <t>sprint-17</t>
        </is>
      </c>
      <c r="I1254" t="inlineStr">
        <is>
          <t>merged</t>
        </is>
      </c>
      <c r="J1254" t="inlineStr">
        <is>
          <t>4e13e3b5d86b9b1b86eec382b2c9be6e5dd2a414</t>
        </is>
      </c>
      <c r="K1254">
        <f>HYPERLINK("http://gitlab.osmosys.co/incident-reporter/incident-reporter-angular-portal/-/merge_requests/3439#note_237160", "Same here")</f>
        <v/>
      </c>
      <c r="L1254" t="inlineStr">
        <is>
          <t>2025-07-15 22:58:18.632 IST</t>
        </is>
      </c>
      <c r="M1254" t="inlineStr">
        <is>
          <t>Soundariya B</t>
        </is>
      </c>
      <c r="N1254" t="inlineStr">
        <is>
          <t>Yes</t>
        </is>
      </c>
      <c r="O1254" t="inlineStr">
        <is>
          <t>Yes</t>
        </is>
      </c>
      <c r="P1254" t="inlineStr">
        <is>
          <t>Soundariya B</t>
        </is>
      </c>
      <c r="Q1254" t="inlineStr">
        <is>
          <t>Neutral</t>
        </is>
      </c>
    </row>
    <row r="1255">
      <c r="A1255" t="inlineStr">
        <is>
          <t>rupam.v</t>
        </is>
      </c>
      <c r="B1255" t="inlineStr">
        <is>
          <t>Rupam Vallecha</t>
        </is>
      </c>
      <c r="C1255" t="inlineStr">
        <is>
          <t>rupam.v@osmosys.co</t>
        </is>
      </c>
      <c r="D1255" t="inlineStr">
        <is>
          <t>incident-reporter</t>
        </is>
      </c>
      <c r="E1255">
        <f>HYPERLINK("http://gitlab.osmosys.co/incident-reporter/incident-reporter-angular-portal", "OQSHA Portal")</f>
        <v/>
      </c>
      <c r="F1255">
        <f>HYPERLINK("http://gitlab.osmosys.co/incident-reporter/incident-reporter-angular-portal/-/merge_requests/3439", "feat: enhance inspection management with draft and publish")</f>
        <v/>
      </c>
      <c r="G1255" t="inlineStr">
        <is>
          <t>feat/save-as-draft-inspection</t>
        </is>
      </c>
      <c r="H1255" t="inlineStr">
        <is>
          <t>sprint-17</t>
        </is>
      </c>
      <c r="I1255" t="inlineStr">
        <is>
          <t>merged</t>
        </is>
      </c>
      <c r="J1255" t="inlineStr">
        <is>
          <t>4e13e3b5d86b9b1b86eec382b2c9be6e5dd2a414</t>
        </is>
      </c>
      <c r="K1255">
        <f>HYPERLINK("http://gitlab.osmosys.co/incident-reporter/incident-reporter-angular-portal/-/merge_requests/3439#note_237279", "same here")</f>
        <v/>
      </c>
      <c r="L1255" t="inlineStr">
        <is>
          <t>2025-07-16 10:34:44.332 IST</t>
        </is>
      </c>
      <c r="M1255" t="inlineStr">
        <is>
          <t>Rupam Vallecha</t>
        </is>
      </c>
      <c r="N1255" t="inlineStr">
        <is>
          <t>No</t>
        </is>
      </c>
      <c r="O1255" t="inlineStr">
        <is>
          <t>Yes</t>
        </is>
      </c>
      <c r="P1255" t="inlineStr">
        <is>
          <t>Soundariya B</t>
        </is>
      </c>
      <c r="Q1255" t="inlineStr">
        <is>
          <t>Neutral</t>
        </is>
      </c>
    </row>
    <row r="1256">
      <c r="A1256" t="inlineStr">
        <is>
          <t>rupam.v</t>
        </is>
      </c>
      <c r="B1256" t="inlineStr">
        <is>
          <t>Rupam Vallecha</t>
        </is>
      </c>
      <c r="C1256" t="inlineStr">
        <is>
          <t>rupam.v@osmosys.co</t>
        </is>
      </c>
      <c r="D1256" t="inlineStr">
        <is>
          <t>incident-reporter</t>
        </is>
      </c>
      <c r="E1256">
        <f>HYPERLINK("http://gitlab.osmosys.co/incident-reporter/incident-reporter-angular-portal", "OQSHA Portal")</f>
        <v/>
      </c>
      <c r="F1256">
        <f>HYPERLINK("http://gitlab.osmosys.co/incident-reporter/incident-reporter-angular-portal/-/merge_requests/3439", "feat: enhance inspection management with draft and publish")</f>
        <v/>
      </c>
      <c r="G1256" t="inlineStr">
        <is>
          <t>feat/save-as-draft-inspection</t>
        </is>
      </c>
      <c r="H1256" t="inlineStr">
        <is>
          <t>sprint-17</t>
        </is>
      </c>
      <c r="I1256" t="inlineStr">
        <is>
          <t>merged</t>
        </is>
      </c>
      <c r="J1256" t="inlineStr">
        <is>
          <t>a3a90b9d977844d156cef28b6fea9939587df5d8</t>
        </is>
      </c>
      <c r="K1256">
        <f>HYPERLINK("http://gitlab.osmosys.co/incident-reporter/incident-reporter-angular-portal/-/merge_requests/3439#note_237161", "Bracket is not required here I think")</f>
        <v/>
      </c>
      <c r="L1256" t="inlineStr">
        <is>
          <t>2025-07-15 22:58:18.692 IST</t>
        </is>
      </c>
      <c r="M1256" t="inlineStr">
        <is>
          <t>Soundariya B</t>
        </is>
      </c>
      <c r="N1256" t="inlineStr">
        <is>
          <t>Yes</t>
        </is>
      </c>
      <c r="O1256" t="inlineStr">
        <is>
          <t>Yes</t>
        </is>
      </c>
      <c r="P1256" t="inlineStr">
        <is>
          <t>Soundariya B</t>
        </is>
      </c>
      <c r="Q1256" t="inlineStr">
        <is>
          <t>Neutral</t>
        </is>
      </c>
    </row>
    <row r="1257">
      <c r="A1257" t="inlineStr">
        <is>
          <t>rupam.v</t>
        </is>
      </c>
      <c r="B1257" t="inlineStr">
        <is>
          <t>Rupam Vallecha</t>
        </is>
      </c>
      <c r="C1257" t="inlineStr">
        <is>
          <t>rupam.v@osmosys.co</t>
        </is>
      </c>
      <c r="D1257" t="inlineStr">
        <is>
          <t>incident-reporter</t>
        </is>
      </c>
      <c r="E1257">
        <f>HYPERLINK("http://gitlab.osmosys.co/incident-reporter/incident-reporter-angular-portal", "OQSHA Portal")</f>
        <v/>
      </c>
      <c r="F1257">
        <f>HYPERLINK("http://gitlab.osmosys.co/incident-reporter/incident-reporter-angular-portal/-/merge_requests/3439", "feat: enhance inspection management with draft and publish")</f>
        <v/>
      </c>
      <c r="G1257" t="inlineStr">
        <is>
          <t>feat/save-as-draft-inspection</t>
        </is>
      </c>
      <c r="H1257" t="inlineStr">
        <is>
          <t>sprint-17</t>
        </is>
      </c>
      <c r="I1257" t="inlineStr">
        <is>
          <t>merged</t>
        </is>
      </c>
      <c r="J1257" t="inlineStr">
        <is>
          <t>a3a90b9d977844d156cef28b6fea9939587df5d8</t>
        </is>
      </c>
      <c r="K1257">
        <f>HYPERLINK("http://gitlab.osmosys.co/incident-reporter/incident-reporter-angular-portal/-/merge_requests/3439#note_237281", "but they do help make the intent of the logic clearer")</f>
        <v/>
      </c>
      <c r="L1257" t="inlineStr">
        <is>
          <t>2025-07-16 10:35:50.733 IST</t>
        </is>
      </c>
      <c r="M1257" t="inlineStr">
        <is>
          <t>Rupam Vallecha</t>
        </is>
      </c>
      <c r="N1257" t="inlineStr">
        <is>
          <t>No</t>
        </is>
      </c>
      <c r="O1257" t="inlineStr">
        <is>
          <t>Yes</t>
        </is>
      </c>
      <c r="P1257" t="inlineStr">
        <is>
          <t>Soundariya B</t>
        </is>
      </c>
      <c r="Q1257" t="inlineStr">
        <is>
          <t>Neutral</t>
        </is>
      </c>
    </row>
    <row r="1258">
      <c r="A1258" t="inlineStr">
        <is>
          <t>rupam.v</t>
        </is>
      </c>
      <c r="B1258" t="inlineStr">
        <is>
          <t>Rupam Vallecha</t>
        </is>
      </c>
      <c r="C1258" t="inlineStr">
        <is>
          <t>rupam.v@osmosys.co</t>
        </is>
      </c>
      <c r="D1258" t="inlineStr">
        <is>
          <t>incident-reporter</t>
        </is>
      </c>
      <c r="E1258">
        <f>HYPERLINK("http://gitlab.osmosys.co/incident-reporter/incident-reporter-angular-portal", "OQSHA Portal")</f>
        <v/>
      </c>
      <c r="F1258">
        <f>HYPERLINK("http://gitlab.osmosys.co/incident-reporter/incident-reporter-angular-portal/-/merge_requests/3439", "feat: enhance inspection management with draft and publish")</f>
        <v/>
      </c>
      <c r="G1258" t="inlineStr">
        <is>
          <t>feat/save-as-draft-inspection</t>
        </is>
      </c>
      <c r="H1258" t="inlineStr">
        <is>
          <t>sprint-17</t>
        </is>
      </c>
      <c r="I1258" t="inlineStr">
        <is>
          <t>merged</t>
        </is>
      </c>
      <c r="J1258" t="inlineStr">
        <is>
          <t>80d2e59c02abb3789bb21fc00a076bbba73cbdaf</t>
        </is>
      </c>
      <c r="K1258">
        <f>HYPERLINK("http://gitlab.osmosys.co/incident-reporter/incident-reporter-angular-portal/-/merge_requests/3439#note_237162", "What is 2 and 1 here?
Please some comment so anyone can understand easily")</f>
        <v/>
      </c>
      <c r="L1258" t="inlineStr">
        <is>
          <t>2025-07-15 22:58:18.751 IST</t>
        </is>
      </c>
      <c r="M1258" t="inlineStr">
        <is>
          <t>Soundariya B</t>
        </is>
      </c>
      <c r="N1258" t="inlineStr">
        <is>
          <t>Yes</t>
        </is>
      </c>
      <c r="O1258" t="inlineStr">
        <is>
          <t>No</t>
        </is>
      </c>
      <c r="P1258" t="inlineStr"/>
      <c r="Q1258" t="inlineStr">
        <is>
          <t>Bad</t>
        </is>
      </c>
    </row>
    <row r="1259">
      <c r="A1259" t="inlineStr">
        <is>
          <t>rupam.v</t>
        </is>
      </c>
      <c r="B1259" t="inlineStr">
        <is>
          <t>Rupam Vallecha</t>
        </is>
      </c>
      <c r="C1259" t="inlineStr">
        <is>
          <t>rupam.v@osmosys.co</t>
        </is>
      </c>
      <c r="D1259" t="inlineStr">
        <is>
          <t>incident-reporter</t>
        </is>
      </c>
      <c r="E1259">
        <f>HYPERLINK("http://gitlab.osmosys.co/incident-reporter/incident-reporter-angular-portal", "OQSHA Portal")</f>
        <v/>
      </c>
      <c r="F1259">
        <f>HYPERLINK("http://gitlab.osmosys.co/incident-reporter/incident-reporter-angular-portal/-/merge_requests/3439", "feat: enhance inspection management with draft and publish")</f>
        <v/>
      </c>
      <c r="G1259" t="inlineStr">
        <is>
          <t>feat/save-as-draft-inspection</t>
        </is>
      </c>
      <c r="H1259" t="inlineStr">
        <is>
          <t>sprint-17</t>
        </is>
      </c>
      <c r="I1259" t="inlineStr">
        <is>
          <t>merged</t>
        </is>
      </c>
      <c r="J1259" t="inlineStr">
        <is>
          <t>80d2e59c02abb3789bb21fc00a076bbba73cbdaf</t>
        </is>
      </c>
      <c r="K1259">
        <f>HYPERLINK("http://gitlab.osmosys.co/incident-reporter/incident-reporter-angular-portal/-/merge_requests/3439#note_237283", "Added in ts")</f>
        <v/>
      </c>
      <c r="L1259" t="inlineStr">
        <is>
          <t>2025-07-16 10:38:02.999 IST</t>
        </is>
      </c>
      <c r="M1259" t="inlineStr">
        <is>
          <t>Rupam Vallecha</t>
        </is>
      </c>
      <c r="N1259" t="inlineStr">
        <is>
          <t>No</t>
        </is>
      </c>
      <c r="O1259" t="inlineStr">
        <is>
          <t>No</t>
        </is>
      </c>
      <c r="P1259" t="inlineStr"/>
      <c r="Q1259" t="inlineStr">
        <is>
          <t>Bad</t>
        </is>
      </c>
    </row>
    <row r="1260">
      <c r="A1260" t="inlineStr">
        <is>
          <t>rupam.v</t>
        </is>
      </c>
      <c r="B1260" t="inlineStr">
        <is>
          <t>Rupam Vallecha</t>
        </is>
      </c>
      <c r="C1260" t="inlineStr">
        <is>
          <t>rupam.v@osmosys.co</t>
        </is>
      </c>
      <c r="D1260" t="inlineStr">
        <is>
          <t>incident-reporter</t>
        </is>
      </c>
      <c r="E1260">
        <f>HYPERLINK("http://gitlab.osmosys.co/incident-reporter/incident-reporter-angular-portal", "OQSHA Portal")</f>
        <v/>
      </c>
      <c r="F1260">
        <f>HYPERLINK("http://gitlab.osmosys.co/incident-reporter/incident-reporter-angular-portal/-/merge_requests/3439", "feat: enhance inspection management with draft and publish")</f>
        <v/>
      </c>
      <c r="G1260" t="inlineStr">
        <is>
          <t>feat/save-as-draft-inspection</t>
        </is>
      </c>
      <c r="H1260" t="inlineStr">
        <is>
          <t>sprint-17</t>
        </is>
      </c>
      <c r="I1260" t="inlineStr">
        <is>
          <t>merged</t>
        </is>
      </c>
      <c r="J1260" t="inlineStr">
        <is>
          <t>457708e1d3b88c9d860cdacf1c65c1f407498e11</t>
        </is>
      </c>
      <c r="K1260">
        <f>HYPERLINK("http://gitlab.osmosys.co/incident-reporter/incident-reporter-angular-portal/-/merge_requests/3439#note_237163", "Isn't the save button label key should take from inspection translation object or from common buttons obj?")</f>
        <v/>
      </c>
      <c r="L1260" t="inlineStr">
        <is>
          <t>2025-07-15 22:58:18.803 IST</t>
        </is>
      </c>
      <c r="M1260" t="inlineStr">
        <is>
          <t>Soundariya B</t>
        </is>
      </c>
      <c r="N1260" t="inlineStr">
        <is>
          <t>Yes</t>
        </is>
      </c>
      <c r="O1260" t="inlineStr">
        <is>
          <t>No</t>
        </is>
      </c>
      <c r="P1260" t="inlineStr"/>
      <c r="Q1260" t="inlineStr">
        <is>
          <t>Bad</t>
        </is>
      </c>
    </row>
    <row r="1261">
      <c r="A1261" t="inlineStr">
        <is>
          <t>rupam.v</t>
        </is>
      </c>
      <c r="B1261" t="inlineStr">
        <is>
          <t>Rupam Vallecha</t>
        </is>
      </c>
      <c r="C1261" t="inlineStr">
        <is>
          <t>rupam.v@osmosys.co</t>
        </is>
      </c>
      <c r="D1261" t="inlineStr">
        <is>
          <t>incident-reporter</t>
        </is>
      </c>
      <c r="E1261">
        <f>HYPERLINK("http://gitlab.osmosys.co/incident-reporter/incident-reporter-angular-portal", "OQSHA Portal")</f>
        <v/>
      </c>
      <c r="F1261">
        <f>HYPERLINK("http://gitlab.osmosys.co/incident-reporter/incident-reporter-angular-portal/-/merge_requests/3439", "feat: enhance inspection management with draft and publish")</f>
        <v/>
      </c>
      <c r="G1261" t="inlineStr">
        <is>
          <t>feat/save-as-draft-inspection</t>
        </is>
      </c>
      <c r="H1261" t="inlineStr">
        <is>
          <t>sprint-17</t>
        </is>
      </c>
      <c r="I1261" t="inlineStr">
        <is>
          <t>merged</t>
        </is>
      </c>
      <c r="J1261" t="inlineStr">
        <is>
          <t>457708e1d3b88c9d860cdacf1c65c1f407498e11</t>
        </is>
      </c>
      <c r="K1261">
        <f>HYPERLINK("http://gitlab.osmosys.co/incident-reporter/incident-reporter-angular-portal/-/merge_requests/3439#note_237285", "how does it matter")</f>
        <v/>
      </c>
      <c r="L1261" t="inlineStr">
        <is>
          <t>2025-07-16 10:39:18.290 IST</t>
        </is>
      </c>
      <c r="M1261" t="inlineStr">
        <is>
          <t>Rupam Vallecha</t>
        </is>
      </c>
      <c r="N1261" t="inlineStr">
        <is>
          <t>No</t>
        </is>
      </c>
      <c r="O1261" t="inlineStr">
        <is>
          <t>No</t>
        </is>
      </c>
      <c r="P1261" t="inlineStr"/>
      <c r="Q1261" t="inlineStr">
        <is>
          <t>Bad</t>
        </is>
      </c>
    </row>
    <row r="1262">
      <c r="A1262" t="inlineStr">
        <is>
          <t>rupam.v</t>
        </is>
      </c>
      <c r="B1262" t="inlineStr">
        <is>
          <t>Rupam Vallecha</t>
        </is>
      </c>
      <c r="C1262" t="inlineStr">
        <is>
          <t>rupam.v@osmosys.co</t>
        </is>
      </c>
      <c r="D1262" t="inlineStr">
        <is>
          <t>incident-reporter</t>
        </is>
      </c>
      <c r="E1262">
        <f>HYPERLINK("http://gitlab.osmosys.co/incident-reporter/incident-reporter-angular-portal", "OQSHA Portal")</f>
        <v/>
      </c>
      <c r="F1262">
        <f>HYPERLINK("http://gitlab.osmosys.co/incident-reporter/incident-reporter-angular-portal/-/merge_requests/3439", "feat: enhance inspection management with draft and publish")</f>
        <v/>
      </c>
      <c r="G1262" t="inlineStr">
        <is>
          <t>feat/save-as-draft-inspection</t>
        </is>
      </c>
      <c r="H1262" t="inlineStr">
        <is>
          <t>sprint-17</t>
        </is>
      </c>
      <c r="I1262" t="inlineStr">
        <is>
          <t>merged</t>
        </is>
      </c>
      <c r="J1262" t="inlineStr">
        <is>
          <t>457708e1d3b88c9d860cdacf1c65c1f407498e11</t>
        </is>
      </c>
      <c r="K1262">
        <f>HYPERLINK("http://gitlab.osmosys.co/incident-reporter/incident-reporter-angular-portal/-/merge_requests/3439#note_237828", "Its matter so that raise the bug other you can check with leads")</f>
        <v/>
      </c>
      <c r="L1262" t="inlineStr">
        <is>
          <t>2025-07-16 18:10:31.853 IST</t>
        </is>
      </c>
      <c r="M1262" t="inlineStr">
        <is>
          <t>Soundariya B</t>
        </is>
      </c>
      <c r="N1262" t="inlineStr">
        <is>
          <t>Yes</t>
        </is>
      </c>
      <c r="O1262" t="inlineStr">
        <is>
          <t>No</t>
        </is>
      </c>
      <c r="P1262" t="inlineStr"/>
      <c r="Q1262" t="inlineStr">
        <is>
          <t>Bad</t>
        </is>
      </c>
    </row>
    <row r="1263">
      <c r="A1263" t="inlineStr">
        <is>
          <t>rupam.v</t>
        </is>
      </c>
      <c r="B1263" t="inlineStr">
        <is>
          <t>Rupam Vallecha</t>
        </is>
      </c>
      <c r="C1263" t="inlineStr">
        <is>
          <t>rupam.v@osmosys.co</t>
        </is>
      </c>
      <c r="D1263" t="inlineStr">
        <is>
          <t>incident-reporter</t>
        </is>
      </c>
      <c r="E1263">
        <f>HYPERLINK("http://gitlab.osmosys.co/incident-reporter/incident-reporter-angular-portal", "OQSHA Portal")</f>
        <v/>
      </c>
      <c r="F1263">
        <f>HYPERLINK("http://gitlab.osmosys.co/incident-reporter/incident-reporter-angular-portal/-/merge_requests/3439", "feat: enhance inspection management with draft and publish")</f>
        <v/>
      </c>
      <c r="G1263" t="inlineStr">
        <is>
          <t>feat/save-as-draft-inspection</t>
        </is>
      </c>
      <c r="H1263" t="inlineStr">
        <is>
          <t>sprint-17</t>
        </is>
      </c>
      <c r="I1263" t="inlineStr">
        <is>
          <t>merged</t>
        </is>
      </c>
      <c r="J1263" t="inlineStr">
        <is>
          <t>9dcd64832def2f0bb921e5690f7e7163d3026c03</t>
        </is>
      </c>
      <c r="K1263">
        <f>HYPERLINK("http://gitlab.osmosys.co/incident-reporter/incident-reporter-angular-portal/-/merge_requests/3439#note_237164", "Isn't the save button label key should take from inspection translation object or from common buttons obj?")</f>
        <v/>
      </c>
      <c r="L1263" t="inlineStr">
        <is>
          <t>2025-07-15 22:58:18.855 IST</t>
        </is>
      </c>
      <c r="M1263" t="inlineStr">
        <is>
          <t>Soundariya B</t>
        </is>
      </c>
      <c r="N1263" t="inlineStr">
        <is>
          <t>Yes</t>
        </is>
      </c>
      <c r="O1263" t="inlineStr">
        <is>
          <t>No</t>
        </is>
      </c>
      <c r="P1263" t="inlineStr"/>
      <c r="Q1263" t="inlineStr">
        <is>
          <t>Bad</t>
        </is>
      </c>
    </row>
    <row r="1264">
      <c r="A1264" t="inlineStr">
        <is>
          <t>rupam.v</t>
        </is>
      </c>
      <c r="B1264" t="inlineStr">
        <is>
          <t>Rupam Vallecha</t>
        </is>
      </c>
      <c r="C1264" t="inlineStr">
        <is>
          <t>rupam.v@osmosys.co</t>
        </is>
      </c>
      <c r="D1264" t="inlineStr">
        <is>
          <t>incident-reporter</t>
        </is>
      </c>
      <c r="E1264">
        <f>HYPERLINK("http://gitlab.osmosys.co/incident-reporter/incident-reporter-angular-portal", "OQSHA Portal")</f>
        <v/>
      </c>
      <c r="F1264">
        <f>HYPERLINK("http://gitlab.osmosys.co/incident-reporter/incident-reporter-angular-portal/-/merge_requests/3439", "feat: enhance inspection management with draft and publish")</f>
        <v/>
      </c>
      <c r="G1264" t="inlineStr">
        <is>
          <t>feat/save-as-draft-inspection</t>
        </is>
      </c>
      <c r="H1264" t="inlineStr">
        <is>
          <t>sprint-17</t>
        </is>
      </c>
      <c r="I1264" t="inlineStr">
        <is>
          <t>merged</t>
        </is>
      </c>
      <c r="J1264" t="inlineStr">
        <is>
          <t>9dcd64832def2f0bb921e5690f7e7163d3026c03</t>
        </is>
      </c>
      <c r="K1264">
        <f>HYPERLINK("http://gitlab.osmosys.co/incident-reporter/incident-reporter-angular-portal/-/merge_requests/3439#note_237286", "its from common only")</f>
        <v/>
      </c>
      <c r="L1264" t="inlineStr">
        <is>
          <t>2025-07-16 10:39:33.563 IST</t>
        </is>
      </c>
      <c r="M1264" t="inlineStr">
        <is>
          <t>Rupam Vallecha</t>
        </is>
      </c>
      <c r="N1264" t="inlineStr">
        <is>
          <t>No</t>
        </is>
      </c>
      <c r="O1264" t="inlineStr">
        <is>
          <t>No</t>
        </is>
      </c>
      <c r="P1264" t="inlineStr"/>
      <c r="Q1264" t="inlineStr">
        <is>
          <t>Bad</t>
        </is>
      </c>
    </row>
    <row r="1265">
      <c r="A1265" t="inlineStr">
        <is>
          <t>rupam.v</t>
        </is>
      </c>
      <c r="B1265" t="inlineStr">
        <is>
          <t>Rupam Vallecha</t>
        </is>
      </c>
      <c r="C1265" t="inlineStr">
        <is>
          <t>rupam.v@osmosys.co</t>
        </is>
      </c>
      <c r="D1265" t="inlineStr">
        <is>
          <t>incident-reporter</t>
        </is>
      </c>
      <c r="E1265">
        <f>HYPERLINK("http://gitlab.osmosys.co/incident-reporter/incident-reporter-angular-portal", "OQSHA Portal")</f>
        <v/>
      </c>
      <c r="F1265">
        <f>HYPERLINK("http://gitlab.osmosys.co/incident-reporter/incident-reporter-angular-portal/-/merge_requests/3439", "feat: enhance inspection management with draft and publish")</f>
        <v/>
      </c>
      <c r="G1265" t="inlineStr">
        <is>
          <t>feat/save-as-draft-inspection</t>
        </is>
      </c>
      <c r="H1265" t="inlineStr">
        <is>
          <t>sprint-17</t>
        </is>
      </c>
      <c r="I1265" t="inlineStr">
        <is>
          <t>merged</t>
        </is>
      </c>
      <c r="J1265" t="inlineStr">
        <is>
          <t>9dcd64832def2f0bb921e5690f7e7163d3026c03</t>
        </is>
      </c>
      <c r="K1265">
        <f>HYPERLINK("http://gitlab.osmosys.co/incident-reporter/incident-reporter-angular-portal/-/merge_requests/3439#note_237829", "I said from common button obj? Don't we have any?")</f>
        <v/>
      </c>
      <c r="L1265" t="inlineStr">
        <is>
          <t>2025-07-16 18:11:24.104 IST</t>
        </is>
      </c>
      <c r="M1265" t="inlineStr">
        <is>
          <t>Soundariya B</t>
        </is>
      </c>
      <c r="N1265" t="inlineStr">
        <is>
          <t>Yes</t>
        </is>
      </c>
      <c r="O1265" t="inlineStr">
        <is>
          <t>No</t>
        </is>
      </c>
      <c r="P1265" t="inlineStr"/>
      <c r="Q1265" t="inlineStr">
        <is>
          <t>Bad</t>
        </is>
      </c>
    </row>
    <row r="1266">
      <c r="A1266" t="inlineStr">
        <is>
          <t>rupam.v</t>
        </is>
      </c>
      <c r="B1266" t="inlineStr">
        <is>
          <t>Rupam Vallecha</t>
        </is>
      </c>
      <c r="C1266" t="inlineStr">
        <is>
          <t>rupam.v@osmosys.co</t>
        </is>
      </c>
      <c r="D1266" t="inlineStr">
        <is>
          <t>incident-reporter</t>
        </is>
      </c>
      <c r="E1266">
        <f>HYPERLINK("http://gitlab.osmosys.co/incident-reporter/incident-reporter-angular-portal", "OQSHA Portal")</f>
        <v/>
      </c>
      <c r="F1266">
        <f>HYPERLINK("http://gitlab.osmosys.co/incident-reporter/incident-reporter-angular-portal/-/merge_requests/3439", "feat: enhance inspection management with draft and publish")</f>
        <v/>
      </c>
      <c r="G1266" t="inlineStr">
        <is>
          <t>feat/save-as-draft-inspection</t>
        </is>
      </c>
      <c r="H1266" t="inlineStr">
        <is>
          <t>sprint-17</t>
        </is>
      </c>
      <c r="I1266" t="inlineStr">
        <is>
          <t>merged</t>
        </is>
      </c>
      <c r="J1266" t="inlineStr">
        <is>
          <t>9dcd64832def2f0bb921e5690f7e7163d3026c03</t>
        </is>
      </c>
      <c r="K1266">
        <f>HYPERLINK("http://gitlab.osmosys.co/incident-reporter/incident-reporter-angular-portal/-/merge_requests/3439#note_237957", "no")</f>
        <v/>
      </c>
      <c r="L1266" t="inlineStr">
        <is>
          <t>2025-07-16 22:22:49.638 IST</t>
        </is>
      </c>
      <c r="M1266" t="inlineStr">
        <is>
          <t>Rupam Vallecha</t>
        </is>
      </c>
      <c r="N1266" t="inlineStr">
        <is>
          <t>No</t>
        </is>
      </c>
      <c r="O1266" t="inlineStr">
        <is>
          <t>No</t>
        </is>
      </c>
      <c r="P1266" t="inlineStr"/>
      <c r="Q1266" t="inlineStr">
        <is>
          <t>Bad</t>
        </is>
      </c>
    </row>
    <row r="1267">
      <c r="A1267" t="inlineStr">
        <is>
          <t>rupam.v</t>
        </is>
      </c>
      <c r="B1267" t="inlineStr">
        <is>
          <t>Rupam Vallecha</t>
        </is>
      </c>
      <c r="C1267" t="inlineStr">
        <is>
          <t>rupam.v@osmosys.co</t>
        </is>
      </c>
      <c r="D1267" t="inlineStr">
        <is>
          <t>incident-reporter</t>
        </is>
      </c>
      <c r="E1267">
        <f>HYPERLINK("http://gitlab.osmosys.co/incident-reporter/incident-reporter-angular-portal", "OQSHA Portal")</f>
        <v/>
      </c>
      <c r="F1267">
        <f>HYPERLINK("http://gitlab.osmosys.co/incident-reporter/incident-reporter-angular-portal/-/merge_requests/3439", "feat: enhance inspection management with draft and publish")</f>
        <v/>
      </c>
      <c r="G1267" t="inlineStr">
        <is>
          <t>feat/save-as-draft-inspection</t>
        </is>
      </c>
      <c r="H1267" t="inlineStr">
        <is>
          <t>sprint-17</t>
        </is>
      </c>
      <c r="I1267" t="inlineStr">
        <is>
          <t>merged</t>
        </is>
      </c>
      <c r="J1267" t="inlineStr">
        <is>
          <t>cd9411d25d4b98caa2027b8023eeb18575269864</t>
        </is>
      </c>
      <c r="K1267">
        <f>HYPERLINK("http://gitlab.osmosys.co/incident-reporter/incident-reporter-angular-portal/-/merge_requests/3439#note_237165", "You can use this in single place")</f>
        <v/>
      </c>
      <c r="L1267" t="inlineStr">
        <is>
          <t>2025-07-15 22:58:18.943 IST</t>
        </is>
      </c>
      <c r="M1267" t="inlineStr">
        <is>
          <t>Soundariya B</t>
        </is>
      </c>
      <c r="N1267" t="inlineStr">
        <is>
          <t>Yes</t>
        </is>
      </c>
      <c r="O1267" t="inlineStr">
        <is>
          <t>Yes</t>
        </is>
      </c>
      <c r="P1267" t="inlineStr">
        <is>
          <t>Soundariya B</t>
        </is>
      </c>
      <c r="Q1267" t="inlineStr">
        <is>
          <t>Bad</t>
        </is>
      </c>
    </row>
    <row r="1268">
      <c r="A1268" t="inlineStr">
        <is>
          <t>rupam.v</t>
        </is>
      </c>
      <c r="B1268" t="inlineStr">
        <is>
          <t>Rupam Vallecha</t>
        </is>
      </c>
      <c r="C1268" t="inlineStr">
        <is>
          <t>rupam.v@osmosys.co</t>
        </is>
      </c>
      <c r="D1268" t="inlineStr">
        <is>
          <t>incident-reporter</t>
        </is>
      </c>
      <c r="E1268">
        <f>HYPERLINK("http://gitlab.osmosys.co/incident-reporter/incident-reporter-angular-portal", "OQSHA Portal")</f>
        <v/>
      </c>
      <c r="F1268">
        <f>HYPERLINK("http://gitlab.osmosys.co/incident-reporter/incident-reporter-angular-portal/-/merge_requests/3439", "feat: enhance inspection management with draft and publish")</f>
        <v/>
      </c>
      <c r="G1268" t="inlineStr">
        <is>
          <t>feat/save-as-draft-inspection</t>
        </is>
      </c>
      <c r="H1268" t="inlineStr">
        <is>
          <t>sprint-17</t>
        </is>
      </c>
      <c r="I1268" t="inlineStr">
        <is>
          <t>merged</t>
        </is>
      </c>
      <c r="J1268" t="inlineStr">
        <is>
          <t>cd9411d25d4b98caa2027b8023eeb18575269864</t>
        </is>
      </c>
      <c r="K1268">
        <f>HYPERLINK("http://gitlab.osmosys.co/incident-reporter/incident-reporter-angular-portal/-/merge_requests/3439#note_237776", "done")</f>
        <v/>
      </c>
      <c r="L1268" t="inlineStr">
        <is>
          <t>2025-07-16 17:42:56.471 IST</t>
        </is>
      </c>
      <c r="M1268" t="inlineStr">
        <is>
          <t>Rupam Vallecha</t>
        </is>
      </c>
      <c r="N1268" t="inlineStr">
        <is>
          <t>No</t>
        </is>
      </c>
      <c r="O1268" t="inlineStr">
        <is>
          <t>Yes</t>
        </is>
      </c>
      <c r="P1268" t="inlineStr">
        <is>
          <t>Soundariya B</t>
        </is>
      </c>
      <c r="Q1268" t="inlineStr">
        <is>
          <t>Bad</t>
        </is>
      </c>
    </row>
    <row r="1269">
      <c r="A1269" t="inlineStr">
        <is>
          <t>rupam.v</t>
        </is>
      </c>
      <c r="B1269" t="inlineStr">
        <is>
          <t>Rupam Vallecha</t>
        </is>
      </c>
      <c r="C1269" t="inlineStr">
        <is>
          <t>rupam.v@osmosys.co</t>
        </is>
      </c>
      <c r="D1269" t="inlineStr">
        <is>
          <t>incident-reporter</t>
        </is>
      </c>
      <c r="E1269">
        <f>HYPERLINK("http://gitlab.osmosys.co/incident-reporter/incident-reporter-angular-portal", "OQSHA Portal")</f>
        <v/>
      </c>
      <c r="F1269">
        <f>HYPERLINK("http://gitlab.osmosys.co/incident-reporter/incident-reporter-angular-portal/-/merge_requests/3439", "feat: enhance inspection management with draft and publish")</f>
        <v/>
      </c>
      <c r="G1269" t="inlineStr">
        <is>
          <t>feat/save-as-draft-inspection</t>
        </is>
      </c>
      <c r="H1269" t="inlineStr">
        <is>
          <t>sprint-17</t>
        </is>
      </c>
      <c r="I1269" t="inlineStr">
        <is>
          <t>merged</t>
        </is>
      </c>
      <c r="J1269" t="inlineStr">
        <is>
          <t>0b6a550788251afa7303abd76d8dd825c1f8b829</t>
        </is>
      </c>
      <c r="K1269">
        <f>HYPERLINK("http://gitlab.osmosys.co/incident-reporter/incident-reporter-angular-portal/-/merge_requests/3439#note_237166", "Use meaning full variables")</f>
        <v/>
      </c>
      <c r="L1269" t="inlineStr">
        <is>
          <t>2025-07-15 22:58:18.997 IST</t>
        </is>
      </c>
      <c r="M1269" t="inlineStr">
        <is>
          <t>Soundariya B</t>
        </is>
      </c>
      <c r="N1269" t="inlineStr">
        <is>
          <t>Yes</t>
        </is>
      </c>
      <c r="O1269" t="inlineStr">
        <is>
          <t>Yes</t>
        </is>
      </c>
      <c r="P1269" t="inlineStr">
        <is>
          <t>Soundariya B</t>
        </is>
      </c>
      <c r="Q1269" t="inlineStr">
        <is>
          <t>Bad</t>
        </is>
      </c>
    </row>
    <row r="1270">
      <c r="A1270" t="inlineStr">
        <is>
          <t>rupam.v</t>
        </is>
      </c>
      <c r="B1270" t="inlineStr">
        <is>
          <t>Rupam Vallecha</t>
        </is>
      </c>
      <c r="C1270" t="inlineStr">
        <is>
          <t>rupam.v@osmosys.co</t>
        </is>
      </c>
      <c r="D1270" t="inlineStr">
        <is>
          <t>incident-reporter</t>
        </is>
      </c>
      <c r="E1270">
        <f>HYPERLINK("http://gitlab.osmosys.co/incident-reporter/incident-reporter-angular-portal", "OQSHA Portal")</f>
        <v/>
      </c>
      <c r="F1270">
        <f>HYPERLINK("http://gitlab.osmosys.co/incident-reporter/incident-reporter-angular-portal/-/merge_requests/3439", "feat: enhance inspection management with draft and publish")</f>
        <v/>
      </c>
      <c r="G1270" t="inlineStr">
        <is>
          <t>feat/save-as-draft-inspection</t>
        </is>
      </c>
      <c r="H1270" t="inlineStr">
        <is>
          <t>sprint-17</t>
        </is>
      </c>
      <c r="I1270" t="inlineStr">
        <is>
          <t>merged</t>
        </is>
      </c>
      <c r="J1270" t="inlineStr">
        <is>
          <t>0b6a550788251afa7303abd76d8dd825c1f8b829</t>
        </is>
      </c>
      <c r="K1270">
        <f>HYPERLINK("http://gitlab.osmosys.co/incident-reporter/incident-reporter-angular-portal/-/merge_requests/3439#note_237754", "changed")</f>
        <v/>
      </c>
      <c r="L1270" t="inlineStr">
        <is>
          <t>2025-07-16 17:37:25.662 IST</t>
        </is>
      </c>
      <c r="M1270" t="inlineStr">
        <is>
          <t>Rupam Vallecha</t>
        </is>
      </c>
      <c r="N1270" t="inlineStr">
        <is>
          <t>No</t>
        </is>
      </c>
      <c r="O1270" t="inlineStr">
        <is>
          <t>Yes</t>
        </is>
      </c>
      <c r="P1270" t="inlineStr">
        <is>
          <t>Soundariya B</t>
        </is>
      </c>
      <c r="Q1270" t="inlineStr">
        <is>
          <t>Bad</t>
        </is>
      </c>
    </row>
    <row r="1271">
      <c r="A1271" t="inlineStr">
        <is>
          <t>rupam.v</t>
        </is>
      </c>
      <c r="B1271" t="inlineStr">
        <is>
          <t>Rupam Vallecha</t>
        </is>
      </c>
      <c r="C1271" t="inlineStr">
        <is>
          <t>rupam.v@osmosys.co</t>
        </is>
      </c>
      <c r="D1271" t="inlineStr">
        <is>
          <t>incident-reporter</t>
        </is>
      </c>
      <c r="E1271">
        <f>HYPERLINK("http://gitlab.osmosys.co/incident-reporter/incident-reporter-angular-portal", "OQSHA Portal")</f>
        <v/>
      </c>
      <c r="F1271">
        <f>HYPERLINK("http://gitlab.osmosys.co/incident-reporter/incident-reporter-angular-portal/-/merge_requests/3439", "feat: enhance inspection management with draft and publish")</f>
        <v/>
      </c>
      <c r="G1271" t="inlineStr">
        <is>
          <t>feat/save-as-draft-inspection</t>
        </is>
      </c>
      <c r="H1271" t="inlineStr">
        <is>
          <t>sprint-17</t>
        </is>
      </c>
      <c r="I1271" t="inlineStr">
        <is>
          <t>merged</t>
        </is>
      </c>
      <c r="J1271" t="inlineStr">
        <is>
          <t>1a1fa7be3521e2b52d276e3d06adaa20d4bf5bce</t>
        </is>
      </c>
      <c r="K1271">
        <f>HYPERLINK("http://gitlab.osmosys.co/incident-reporter/incident-reporter-angular-portal/-/merge_requests/3439#note_237167", "Same here")</f>
        <v/>
      </c>
      <c r="L1271" t="inlineStr">
        <is>
          <t>2025-07-15 22:58:19.051 IST</t>
        </is>
      </c>
      <c r="M1271" t="inlineStr">
        <is>
          <t>Soundariya B</t>
        </is>
      </c>
      <c r="N1271" t="inlineStr">
        <is>
          <t>Yes</t>
        </is>
      </c>
      <c r="O1271" t="inlineStr">
        <is>
          <t>Yes</t>
        </is>
      </c>
      <c r="P1271" t="inlineStr">
        <is>
          <t>Soundariya B</t>
        </is>
      </c>
      <c r="Q1271" t="inlineStr">
        <is>
          <t>Bad</t>
        </is>
      </c>
    </row>
    <row r="1272">
      <c r="A1272" t="inlineStr">
        <is>
          <t>rupam.v</t>
        </is>
      </c>
      <c r="B1272" t="inlineStr">
        <is>
          <t>Rupam Vallecha</t>
        </is>
      </c>
      <c r="C1272" t="inlineStr">
        <is>
          <t>rupam.v@osmosys.co</t>
        </is>
      </c>
      <c r="D1272" t="inlineStr">
        <is>
          <t>incident-reporter</t>
        </is>
      </c>
      <c r="E1272">
        <f>HYPERLINK("http://gitlab.osmosys.co/incident-reporter/incident-reporter-angular-portal", "OQSHA Portal")</f>
        <v/>
      </c>
      <c r="F1272">
        <f>HYPERLINK("http://gitlab.osmosys.co/incident-reporter/incident-reporter-angular-portal/-/merge_requests/3439", "feat: enhance inspection management with draft and publish")</f>
        <v/>
      </c>
      <c r="G1272" t="inlineStr">
        <is>
          <t>feat/save-as-draft-inspection</t>
        </is>
      </c>
      <c r="H1272" t="inlineStr">
        <is>
          <t>sprint-17</t>
        </is>
      </c>
      <c r="I1272" t="inlineStr">
        <is>
          <t>merged</t>
        </is>
      </c>
      <c r="J1272" t="inlineStr">
        <is>
          <t>1a1fa7be3521e2b52d276e3d06adaa20d4bf5bce</t>
        </is>
      </c>
      <c r="K1272">
        <f>HYPERLINK("http://gitlab.osmosys.co/incident-reporter/incident-reporter-angular-portal/-/merge_requests/3439#note_237753", "changed")</f>
        <v/>
      </c>
      <c r="L1272" t="inlineStr">
        <is>
          <t>2025-07-16 17:37:18.920 IST</t>
        </is>
      </c>
      <c r="M1272" t="inlineStr">
        <is>
          <t>Rupam Vallecha</t>
        </is>
      </c>
      <c r="N1272" t="inlineStr">
        <is>
          <t>No</t>
        </is>
      </c>
      <c r="O1272" t="inlineStr">
        <is>
          <t>Yes</t>
        </is>
      </c>
      <c r="P1272" t="inlineStr">
        <is>
          <t>Soundariya B</t>
        </is>
      </c>
      <c r="Q1272" t="inlineStr">
        <is>
          <t>Bad</t>
        </is>
      </c>
    </row>
    <row r="1273">
      <c r="A1273" t="inlineStr">
        <is>
          <t>rupam.v</t>
        </is>
      </c>
      <c r="B1273" t="inlineStr">
        <is>
          <t>Rupam Vallecha</t>
        </is>
      </c>
      <c r="C1273" t="inlineStr">
        <is>
          <t>rupam.v@osmosys.co</t>
        </is>
      </c>
      <c r="D1273" t="inlineStr">
        <is>
          <t>incident-reporter</t>
        </is>
      </c>
      <c r="E1273">
        <f>HYPERLINK("http://gitlab.osmosys.co/incident-reporter/incident-reporter-angular-portal", "OQSHA Portal")</f>
        <v/>
      </c>
      <c r="F1273">
        <f>HYPERLINK("http://gitlab.osmosys.co/incident-reporter/incident-reporter-angular-portal/-/merge_requests/3439", "feat: enhance inspection management with draft and publish")</f>
        <v/>
      </c>
      <c r="G1273" t="inlineStr">
        <is>
          <t>feat/save-as-draft-inspection</t>
        </is>
      </c>
      <c r="H1273" t="inlineStr">
        <is>
          <t>sprint-17</t>
        </is>
      </c>
      <c r="I1273" t="inlineStr">
        <is>
          <t>merged</t>
        </is>
      </c>
      <c r="J1273" t="inlineStr">
        <is>
          <t>46c6661b8c261b7912121134f4087463f869ec43</t>
        </is>
      </c>
      <c r="K1273">
        <f>HYPERLINK("http://gitlab.osmosys.co/incident-reporter/incident-reporter-angular-portal/-/merge_requests/3439#note_237168", "constants.INSPECTION_SAVE_STATUS.**find**(
(s) **=\&gt;** s.itemName **===** data.SaveStatus,
)?.id;
Can you use it in single place, store it in variable and use it - It is using more than 1 place")</f>
        <v/>
      </c>
      <c r="L1273" t="inlineStr">
        <is>
          <t>2025-07-15 22:58:19.104 IST</t>
        </is>
      </c>
      <c r="M1273" t="inlineStr">
        <is>
          <t>Soundariya B</t>
        </is>
      </c>
      <c r="N1273" t="inlineStr">
        <is>
          <t>Yes</t>
        </is>
      </c>
      <c r="O1273" t="inlineStr">
        <is>
          <t>No</t>
        </is>
      </c>
      <c r="P1273" t="inlineStr"/>
      <c r="Q1273" t="inlineStr">
        <is>
          <t>Bad</t>
        </is>
      </c>
    </row>
    <row r="1274">
      <c r="A1274" t="inlineStr">
        <is>
          <t>rupam.v</t>
        </is>
      </c>
      <c r="B1274" t="inlineStr">
        <is>
          <t>Rupam Vallecha</t>
        </is>
      </c>
      <c r="C1274" t="inlineStr">
        <is>
          <t>rupam.v@osmosys.co</t>
        </is>
      </c>
      <c r="D1274" t="inlineStr">
        <is>
          <t>incident-reporter</t>
        </is>
      </c>
      <c r="E1274">
        <f>HYPERLINK("http://gitlab.osmosys.co/incident-reporter/incident-reporter-angular-portal", "OQSHA Portal")</f>
        <v/>
      </c>
      <c r="F1274">
        <f>HYPERLINK("http://gitlab.osmosys.co/incident-reporter/incident-reporter-angular-portal/-/merge_requests/3439", "feat: enhance inspection management with draft and publish")</f>
        <v/>
      </c>
      <c r="G1274" t="inlineStr">
        <is>
          <t>feat/save-as-draft-inspection</t>
        </is>
      </c>
      <c r="H1274" t="inlineStr">
        <is>
          <t>sprint-17</t>
        </is>
      </c>
      <c r="I1274" t="inlineStr">
        <is>
          <t>merged</t>
        </is>
      </c>
      <c r="J1274" t="inlineStr">
        <is>
          <t>46c6661b8c261b7912121134f4087463f869ec43</t>
        </is>
      </c>
      <c r="K1274">
        <f>HYPERLINK("http://gitlab.osmosys.co/incident-reporter/incident-reporter-angular-portal/-/merge_requests/3439#note_237750", "its just being used twice")</f>
        <v/>
      </c>
      <c r="L1274" t="inlineStr">
        <is>
          <t>2025-07-16 17:31:57.918 IST</t>
        </is>
      </c>
      <c r="M1274" t="inlineStr">
        <is>
          <t>Rupam Vallecha</t>
        </is>
      </c>
      <c r="N1274" t="inlineStr">
        <is>
          <t>No</t>
        </is>
      </c>
      <c r="O1274" t="inlineStr">
        <is>
          <t>No</t>
        </is>
      </c>
      <c r="P1274" t="inlineStr"/>
      <c r="Q1274" t="inlineStr">
        <is>
          <t>Bad</t>
        </is>
      </c>
    </row>
    <row r="1275">
      <c r="A1275" t="inlineStr">
        <is>
          <t>rupam.v</t>
        </is>
      </c>
      <c r="B1275" t="inlineStr">
        <is>
          <t>Rupam Vallecha</t>
        </is>
      </c>
      <c r="C1275" t="inlineStr">
        <is>
          <t>rupam.v@osmosys.co</t>
        </is>
      </c>
      <c r="D1275" t="inlineStr">
        <is>
          <t>incident-reporter</t>
        </is>
      </c>
      <c r="E1275">
        <f>HYPERLINK("http://gitlab.osmosys.co/incident-reporter/incident-reporter-angular-portal", "OQSHA Portal")</f>
        <v/>
      </c>
      <c r="F1275">
        <f>HYPERLINK("http://gitlab.osmosys.co/incident-reporter/incident-reporter-angular-portal/-/merge_requests/3439", "feat: enhance inspection management with draft and publish")</f>
        <v/>
      </c>
      <c r="G1275" t="inlineStr">
        <is>
          <t>feat/save-as-draft-inspection</t>
        </is>
      </c>
      <c r="H1275" t="inlineStr">
        <is>
          <t>sprint-17</t>
        </is>
      </c>
      <c r="I1275" t="inlineStr">
        <is>
          <t>merged</t>
        </is>
      </c>
      <c r="J1275" t="inlineStr">
        <is>
          <t>ba0761dd45d2438edccac8e0a3fe7970ff924bd5</t>
        </is>
      </c>
      <c r="K1275">
        <f>HYPERLINK("http://gitlab.osmosys.co/incident-reporter/incident-reporter-angular-portal/-/merge_requests/3439#note_237169", "Use block structure")</f>
        <v/>
      </c>
      <c r="L1275" t="inlineStr">
        <is>
          <t>2025-07-15 22:58:19.161 IST</t>
        </is>
      </c>
      <c r="M1275" t="inlineStr">
        <is>
          <t>Soundariya B</t>
        </is>
      </c>
      <c r="N1275" t="inlineStr">
        <is>
          <t>Yes</t>
        </is>
      </c>
      <c r="O1275" t="inlineStr">
        <is>
          <t>No</t>
        </is>
      </c>
      <c r="P1275" t="inlineStr"/>
      <c r="Q1275" t="inlineStr">
        <is>
          <t>Bad</t>
        </is>
      </c>
    </row>
    <row r="1276">
      <c r="A1276" t="inlineStr">
        <is>
          <t>rupam.v</t>
        </is>
      </c>
      <c r="B1276" t="inlineStr">
        <is>
          <t>Rupam Vallecha</t>
        </is>
      </c>
      <c r="C1276" t="inlineStr">
        <is>
          <t>rupam.v@osmosys.co</t>
        </is>
      </c>
      <c r="D1276" t="inlineStr">
        <is>
          <t>incident-reporter</t>
        </is>
      </c>
      <c r="E1276">
        <f>HYPERLINK("http://gitlab.osmosys.co/incident-reporter/incident-reporter-angular-portal", "OQSHA Portal")</f>
        <v/>
      </c>
      <c r="F1276">
        <f>HYPERLINK("http://gitlab.osmosys.co/incident-reporter/incident-reporter-angular-portal/-/merge_requests/3439", "feat: enhance inspection management with draft and publish")</f>
        <v/>
      </c>
      <c r="G1276" t="inlineStr">
        <is>
          <t>feat/save-as-draft-inspection</t>
        </is>
      </c>
      <c r="H1276" t="inlineStr">
        <is>
          <t>sprint-17</t>
        </is>
      </c>
      <c r="I1276" t="inlineStr">
        <is>
          <t>merged</t>
        </is>
      </c>
      <c r="J1276" t="inlineStr">
        <is>
          <t>ba0761dd45d2438edccac8e0a3fe7970ff924bd5</t>
        </is>
      </c>
      <c r="K1276">
        <f>HYPERLINK("http://gitlab.osmosys.co/incident-reporter/incident-reporter-angular-portal/-/merge_requests/3439#note_237749", "done")</f>
        <v/>
      </c>
      <c r="L1276" t="inlineStr">
        <is>
          <t>2025-07-16 17:31:51.795 IST</t>
        </is>
      </c>
      <c r="M1276" t="inlineStr">
        <is>
          <t>Rupam Vallecha</t>
        </is>
      </c>
      <c r="N1276" t="inlineStr">
        <is>
          <t>No</t>
        </is>
      </c>
      <c r="O1276" t="inlineStr">
        <is>
          <t>No</t>
        </is>
      </c>
      <c r="P1276" t="inlineStr"/>
      <c r="Q1276" t="inlineStr">
        <is>
          <t>Bad</t>
        </is>
      </c>
    </row>
    <row r="1277">
      <c r="A1277" t="inlineStr">
        <is>
          <t>rupam.v</t>
        </is>
      </c>
      <c r="B1277" t="inlineStr">
        <is>
          <t>Rupam Vallecha</t>
        </is>
      </c>
      <c r="C1277" t="inlineStr">
        <is>
          <t>rupam.v@osmosys.co</t>
        </is>
      </c>
      <c r="D1277" t="inlineStr">
        <is>
          <t>incident-reporter</t>
        </is>
      </c>
      <c r="E1277">
        <f>HYPERLINK("http://gitlab.osmosys.co/incident-reporter/incident-reporter-angular-portal", "OQSHA Portal")</f>
        <v/>
      </c>
      <c r="F1277">
        <f>HYPERLINK("http://gitlab.osmosys.co/incident-reporter/incident-reporter-angular-portal/-/merge_requests/3439", "feat: enhance inspection management with draft and publish")</f>
        <v/>
      </c>
      <c r="G1277" t="inlineStr">
        <is>
          <t>feat/save-as-draft-inspection</t>
        </is>
      </c>
      <c r="H1277" t="inlineStr">
        <is>
          <t>sprint-17</t>
        </is>
      </c>
      <c r="I1277" t="inlineStr">
        <is>
          <t>merged</t>
        </is>
      </c>
      <c r="J1277" t="inlineStr">
        <is>
          <t>82588fbea9e06d29e3e1ad3b354a02d511d4af94</t>
        </is>
      </c>
      <c r="K1277">
        <f>HYPERLINK("http://gitlab.osmosys.co/incident-reporter/incident-reporter-angular-portal/-/merge_requests/3439#note_237170", "Can you add comment somewhere in this file that what is 1, 2, 3, 4, 5...? It doesn't make sense")</f>
        <v/>
      </c>
      <c r="L1277" t="inlineStr">
        <is>
          <t>2025-07-15 22:58:19.225 IST</t>
        </is>
      </c>
      <c r="M1277" t="inlineStr">
        <is>
          <t>Soundariya B</t>
        </is>
      </c>
      <c r="N1277" t="inlineStr">
        <is>
          <t>Yes</t>
        </is>
      </c>
      <c r="O1277" t="inlineStr">
        <is>
          <t>No</t>
        </is>
      </c>
      <c r="P1277" t="inlineStr"/>
      <c r="Q1277" t="inlineStr">
        <is>
          <t>Bad</t>
        </is>
      </c>
    </row>
    <row r="1278">
      <c r="A1278" t="inlineStr">
        <is>
          <t>rupam.v</t>
        </is>
      </c>
      <c r="B1278" t="inlineStr">
        <is>
          <t>Rupam Vallecha</t>
        </is>
      </c>
      <c r="C1278" t="inlineStr">
        <is>
          <t>rupam.v@osmosys.co</t>
        </is>
      </c>
      <c r="D1278" t="inlineStr">
        <is>
          <t>incident-reporter</t>
        </is>
      </c>
      <c r="E1278">
        <f>HYPERLINK("http://gitlab.osmosys.co/incident-reporter/incident-reporter-angular-portal", "OQSHA Portal")</f>
        <v/>
      </c>
      <c r="F1278">
        <f>HYPERLINK("http://gitlab.osmosys.co/incident-reporter/incident-reporter-angular-portal/-/merge_requests/3439", "feat: enhance inspection management with draft and publish")</f>
        <v/>
      </c>
      <c r="G1278" t="inlineStr">
        <is>
          <t>feat/save-as-draft-inspection</t>
        </is>
      </c>
      <c r="H1278" t="inlineStr">
        <is>
          <t>sprint-17</t>
        </is>
      </c>
      <c r="I1278" t="inlineStr">
        <is>
          <t>merged</t>
        </is>
      </c>
      <c r="J1278" t="inlineStr">
        <is>
          <t>82588fbea9e06d29e3e1ad3b354a02d511d4af94</t>
        </is>
      </c>
      <c r="K1278">
        <f>HYPERLINK("http://gitlab.osmosys.co/incident-reporter/incident-reporter-angular-portal/-/merge_requests/3439#note_237308", "added")</f>
        <v/>
      </c>
      <c r="L1278" t="inlineStr">
        <is>
          <t>2025-07-16 10:44:00.445 IST</t>
        </is>
      </c>
      <c r="M1278" t="inlineStr">
        <is>
          <t>Rupam Vallecha</t>
        </is>
      </c>
      <c r="N1278" t="inlineStr">
        <is>
          <t>No</t>
        </is>
      </c>
      <c r="O1278" t="inlineStr">
        <is>
          <t>No</t>
        </is>
      </c>
      <c r="P1278" t="inlineStr"/>
      <c r="Q1278" t="inlineStr">
        <is>
          <t>Bad</t>
        </is>
      </c>
    </row>
    <row r="1279">
      <c r="A1279" t="inlineStr">
        <is>
          <t>rupam.v</t>
        </is>
      </c>
      <c r="B1279" t="inlineStr">
        <is>
          <t>Rupam Vallecha</t>
        </is>
      </c>
      <c r="C1279" t="inlineStr">
        <is>
          <t>rupam.v@osmosys.co</t>
        </is>
      </c>
      <c r="D1279" t="inlineStr">
        <is>
          <t>incident-reporter</t>
        </is>
      </c>
      <c r="E1279">
        <f>HYPERLINK("http://gitlab.osmosys.co/incident-reporter/incident-reporter-angular-portal", "OQSHA Portal")</f>
        <v/>
      </c>
      <c r="F1279">
        <f>HYPERLINK("http://gitlab.osmosys.co/incident-reporter/incident-reporter-angular-portal/-/merge_requests/3439", "feat: enhance inspection management with draft and publish")</f>
        <v/>
      </c>
      <c r="G1279" t="inlineStr">
        <is>
          <t>feat/save-as-draft-inspection</t>
        </is>
      </c>
      <c r="H1279" t="inlineStr">
        <is>
          <t>sprint-17</t>
        </is>
      </c>
      <c r="I1279" t="inlineStr">
        <is>
          <t>merged</t>
        </is>
      </c>
      <c r="J1279" t="inlineStr">
        <is>
          <t>9cf1bd085e5740fa55d1f15b29ef466387b3453b</t>
        </is>
      </c>
      <c r="K1279">
        <f>HYPERLINK("http://gitlab.osmosys.co/incident-reporter/incident-reporter-angular-portal/-/merge_requests/3439#note_237171", "These lines of code using more than 1 time so please fix it and reuse it in this file")</f>
        <v/>
      </c>
      <c r="L1279" t="inlineStr">
        <is>
          <t>2025-07-15 22:58:19.281 IST</t>
        </is>
      </c>
      <c r="M1279" t="inlineStr">
        <is>
          <t>Soundariya B</t>
        </is>
      </c>
      <c r="N1279" t="inlineStr">
        <is>
          <t>Yes</t>
        </is>
      </c>
      <c r="O1279" t="inlineStr">
        <is>
          <t>No</t>
        </is>
      </c>
      <c r="P1279" t="inlineStr"/>
      <c r="Q1279" t="inlineStr">
        <is>
          <t>Bad</t>
        </is>
      </c>
    </row>
    <row r="1280">
      <c r="A1280" t="inlineStr">
        <is>
          <t>rupam.v</t>
        </is>
      </c>
      <c r="B1280" t="inlineStr">
        <is>
          <t>Rupam Vallecha</t>
        </is>
      </c>
      <c r="C1280" t="inlineStr">
        <is>
          <t>rupam.v@osmosys.co</t>
        </is>
      </c>
      <c r="D1280" t="inlineStr">
        <is>
          <t>incident-reporter</t>
        </is>
      </c>
      <c r="E1280">
        <f>HYPERLINK("http://gitlab.osmosys.co/incident-reporter/incident-reporter-angular-portal", "OQSHA Portal")</f>
        <v/>
      </c>
      <c r="F1280">
        <f>HYPERLINK("http://gitlab.osmosys.co/incident-reporter/incident-reporter-angular-portal/-/merge_requests/3439", "feat: enhance inspection management with draft and publish")</f>
        <v/>
      </c>
      <c r="G1280" t="inlineStr">
        <is>
          <t>feat/save-as-draft-inspection</t>
        </is>
      </c>
      <c r="H1280" t="inlineStr">
        <is>
          <t>sprint-17</t>
        </is>
      </c>
      <c r="I1280" t="inlineStr">
        <is>
          <t>merged</t>
        </is>
      </c>
      <c r="J1280" t="inlineStr">
        <is>
          <t>9cf1bd085e5740fa55d1f15b29ef466387b3453b</t>
        </is>
      </c>
      <c r="K1280">
        <f>HYPERLINK("http://gitlab.osmosys.co/incident-reporter/incident-reporter-angular-portal/-/merge_requests/3439#note_237747", "ok")</f>
        <v/>
      </c>
      <c r="L1280" t="inlineStr">
        <is>
          <t>2025-07-16 17:22:59.378 IST</t>
        </is>
      </c>
      <c r="M1280" t="inlineStr">
        <is>
          <t>Rupam Vallecha</t>
        </is>
      </c>
      <c r="N1280" t="inlineStr">
        <is>
          <t>No</t>
        </is>
      </c>
      <c r="O1280" t="inlineStr">
        <is>
          <t>No</t>
        </is>
      </c>
      <c r="P1280" t="inlineStr"/>
      <c r="Q1280" t="inlineStr">
        <is>
          <t>Bad</t>
        </is>
      </c>
    </row>
    <row r="1281">
      <c r="A1281" t="inlineStr">
        <is>
          <t>rupam.v</t>
        </is>
      </c>
      <c r="B1281" t="inlineStr">
        <is>
          <t>Rupam Vallecha</t>
        </is>
      </c>
      <c r="C1281" t="inlineStr">
        <is>
          <t>rupam.v@osmosys.co</t>
        </is>
      </c>
      <c r="D1281" t="inlineStr">
        <is>
          <t>incident-reporter</t>
        </is>
      </c>
      <c r="E1281">
        <f>HYPERLINK("http://gitlab.osmosys.co/incident-reporter/incident-reporter-angular-portal", "OQSHA Portal")</f>
        <v/>
      </c>
      <c r="F1281">
        <f>HYPERLINK("http://gitlab.osmosys.co/incident-reporter/incident-reporter-angular-portal/-/merge_requests/3439", "feat: enhance inspection management with draft and publish")</f>
        <v/>
      </c>
      <c r="G1281" t="inlineStr">
        <is>
          <t>feat/save-as-draft-inspection</t>
        </is>
      </c>
      <c r="H1281" t="inlineStr">
        <is>
          <t>sprint-17</t>
        </is>
      </c>
      <c r="I1281" t="inlineStr">
        <is>
          <t>merged</t>
        </is>
      </c>
      <c r="J1281" t="inlineStr">
        <is>
          <t>d3dee5f7b9ae1da30abaf5cf7cb465708427ba1f</t>
        </is>
      </c>
      <c r="K1281">
        <f>HYPERLINK("http://gitlab.osmosys.co/incident-reporter/incident-reporter-angular-portal/-/merge_requests/3439#note_237172", "Don't use 'Any' data type")</f>
        <v/>
      </c>
      <c r="L1281" t="inlineStr">
        <is>
          <t>2025-07-15 22:58:19.364 IST</t>
        </is>
      </c>
      <c r="M1281" t="inlineStr">
        <is>
          <t>Soundariya B</t>
        </is>
      </c>
      <c r="N1281" t="inlineStr">
        <is>
          <t>Yes</t>
        </is>
      </c>
      <c r="O1281" t="inlineStr">
        <is>
          <t>No</t>
        </is>
      </c>
      <c r="P1281" t="inlineStr"/>
      <c r="Q1281" t="inlineStr">
        <is>
          <t>Bad</t>
        </is>
      </c>
    </row>
    <row r="1282">
      <c r="A1282" t="inlineStr">
        <is>
          <t>rupam.v</t>
        </is>
      </c>
      <c r="B1282" t="inlineStr">
        <is>
          <t>Rupam Vallecha</t>
        </is>
      </c>
      <c r="C1282" t="inlineStr">
        <is>
          <t>rupam.v@osmosys.co</t>
        </is>
      </c>
      <c r="D1282" t="inlineStr">
        <is>
          <t>incident-reporter</t>
        </is>
      </c>
      <c r="E1282">
        <f>HYPERLINK("http://gitlab.osmosys.co/incident-reporter/incident-reporter-angular-portal", "OQSHA Portal")</f>
        <v/>
      </c>
      <c r="F1282">
        <f>HYPERLINK("http://gitlab.osmosys.co/incident-reporter/incident-reporter-angular-portal/-/merge_requests/3439", "feat: enhance inspection management with draft and publish")</f>
        <v/>
      </c>
      <c r="G1282" t="inlineStr">
        <is>
          <t>feat/save-as-draft-inspection</t>
        </is>
      </c>
      <c r="H1282" t="inlineStr">
        <is>
          <t>sprint-17</t>
        </is>
      </c>
      <c r="I1282" t="inlineStr">
        <is>
          <t>merged</t>
        </is>
      </c>
      <c r="J1282" t="inlineStr">
        <is>
          <t>d3dee5f7b9ae1da30abaf5cf7cb465708427ba1f</t>
        </is>
      </c>
      <c r="K1282">
        <f>HYPERLINK("http://gitlab.osmosys.co/incident-reporter/incident-reporter-angular-portal/-/merge_requests/3439#note_237716", "done")</f>
        <v/>
      </c>
      <c r="L1282" t="inlineStr">
        <is>
          <t>2025-07-16 16:56:58.066 IST</t>
        </is>
      </c>
      <c r="M1282" t="inlineStr">
        <is>
          <t>Rupam Vallecha</t>
        </is>
      </c>
      <c r="N1282" t="inlineStr">
        <is>
          <t>No</t>
        </is>
      </c>
      <c r="O1282" t="inlineStr">
        <is>
          <t>No</t>
        </is>
      </c>
      <c r="P1282" t="inlineStr"/>
      <c r="Q1282" t="inlineStr">
        <is>
          <t>Bad</t>
        </is>
      </c>
    </row>
    <row r="1283">
      <c r="A1283" t="inlineStr">
        <is>
          <t>rupam.v</t>
        </is>
      </c>
      <c r="B1283" t="inlineStr">
        <is>
          <t>Rupam Vallecha</t>
        </is>
      </c>
      <c r="C1283" t="inlineStr">
        <is>
          <t>rupam.v@osmosys.co</t>
        </is>
      </c>
      <c r="D1283" t="inlineStr">
        <is>
          <t>incident-reporter</t>
        </is>
      </c>
      <c r="E1283">
        <f>HYPERLINK("http://gitlab.osmosys.co/incident-reporter/incident-reporter-angular-portal", "OQSHA Portal")</f>
        <v/>
      </c>
      <c r="F1283">
        <f>HYPERLINK("http://gitlab.osmosys.co/incident-reporter/incident-reporter-angular-portal/-/merge_requests/3439", "feat: enhance inspection management with draft and publish")</f>
        <v/>
      </c>
      <c r="G1283" t="inlineStr">
        <is>
          <t>feat/save-as-draft-inspection</t>
        </is>
      </c>
      <c r="H1283" t="inlineStr">
        <is>
          <t>sprint-17</t>
        </is>
      </c>
      <c r="I1283" t="inlineStr">
        <is>
          <t>merged</t>
        </is>
      </c>
      <c r="J1283" t="inlineStr">
        <is>
          <t>59848ec102acfd8b0d6effc7d33b840a55f6a41c</t>
        </is>
      </c>
      <c r="K1283">
        <f>HYPERLINK("http://gitlab.osmosys.co/incident-reporter/incident-reporter-angular-portal/-/merge_requests/3439#note_237173", "Again code is repeating")</f>
        <v/>
      </c>
      <c r="L1283" t="inlineStr">
        <is>
          <t>2025-07-15 22:58:19.420 IST</t>
        </is>
      </c>
      <c r="M1283" t="inlineStr">
        <is>
          <t>Soundariya B</t>
        </is>
      </c>
      <c r="N1283" t="inlineStr">
        <is>
          <t>Yes</t>
        </is>
      </c>
      <c r="O1283" t="inlineStr">
        <is>
          <t>No</t>
        </is>
      </c>
      <c r="P1283" t="inlineStr"/>
      <c r="Q1283" t="inlineStr">
        <is>
          <t>Bad</t>
        </is>
      </c>
    </row>
    <row r="1284">
      <c r="A1284" t="inlineStr">
        <is>
          <t>rupam.v</t>
        </is>
      </c>
      <c r="B1284" t="inlineStr">
        <is>
          <t>Rupam Vallecha</t>
        </is>
      </c>
      <c r="C1284" t="inlineStr">
        <is>
          <t>rupam.v@osmosys.co</t>
        </is>
      </c>
      <c r="D1284" t="inlineStr">
        <is>
          <t>incident-reporter</t>
        </is>
      </c>
      <c r="E1284">
        <f>HYPERLINK("http://gitlab.osmosys.co/incident-reporter/incident-reporter-angular-portal", "OQSHA Portal")</f>
        <v/>
      </c>
      <c r="F1284">
        <f>HYPERLINK("http://gitlab.osmosys.co/incident-reporter/incident-reporter-angular-portal/-/merge_requests/3439", "feat: enhance inspection management with draft and publish")</f>
        <v/>
      </c>
      <c r="G1284" t="inlineStr">
        <is>
          <t>feat/save-as-draft-inspection</t>
        </is>
      </c>
      <c r="H1284" t="inlineStr">
        <is>
          <t>sprint-17</t>
        </is>
      </c>
      <c r="I1284" t="inlineStr">
        <is>
          <t>merged</t>
        </is>
      </c>
      <c r="J1284" t="inlineStr">
        <is>
          <t>59848ec102acfd8b0d6effc7d33b840a55f6a41c</t>
        </is>
      </c>
      <c r="K1284">
        <f>HYPERLINK("http://gitlab.osmosys.co/incident-reporter/incident-reporter-angular-portal/-/merge_requests/3439#note_237705", "fixed")</f>
        <v/>
      </c>
      <c r="L1284" t="inlineStr">
        <is>
          <t>2025-07-16 16:55:10.456 IST</t>
        </is>
      </c>
      <c r="M1284" t="inlineStr">
        <is>
          <t>Rupam Vallecha</t>
        </is>
      </c>
      <c r="N1284" t="inlineStr">
        <is>
          <t>No</t>
        </is>
      </c>
      <c r="O1284" t="inlineStr">
        <is>
          <t>No</t>
        </is>
      </c>
      <c r="P1284" t="inlineStr"/>
      <c r="Q1284" t="inlineStr">
        <is>
          <t>Bad</t>
        </is>
      </c>
    </row>
    <row r="1285">
      <c r="A1285" t="inlineStr">
        <is>
          <t>rupam.v</t>
        </is>
      </c>
      <c r="B1285" t="inlineStr">
        <is>
          <t>Rupam Vallecha</t>
        </is>
      </c>
      <c r="C1285" t="inlineStr">
        <is>
          <t>rupam.v@osmosys.co</t>
        </is>
      </c>
      <c r="D1285" t="inlineStr">
        <is>
          <t>incident-reporter</t>
        </is>
      </c>
      <c r="E1285">
        <f>HYPERLINK("http://gitlab.osmosys.co/incident-reporter/incident-reporter-angular-portal", "OQSHA Portal")</f>
        <v/>
      </c>
      <c r="F1285">
        <f>HYPERLINK("http://gitlab.osmosys.co/incident-reporter/incident-reporter-angular-portal/-/merge_requests/3439", "feat: enhance inspection management with draft and publish")</f>
        <v/>
      </c>
      <c r="G1285" t="inlineStr">
        <is>
          <t>feat/save-as-draft-inspection</t>
        </is>
      </c>
      <c r="H1285" t="inlineStr">
        <is>
          <t>sprint-17</t>
        </is>
      </c>
      <c r="I1285" t="inlineStr">
        <is>
          <t>merged</t>
        </is>
      </c>
      <c r="J1285" t="inlineStr">
        <is>
          <t>1336a6a12c5fb24a7145524bc9f8ee6fd7bf42b5</t>
        </is>
      </c>
      <c r="K1285">
        <f>HYPERLINK("http://gitlab.osmosys.co/incident-reporter/incident-reporter-angular-portal/-/merge_requests/3439#note_237174", "Logger is missing")</f>
        <v/>
      </c>
      <c r="L1285" t="inlineStr">
        <is>
          <t>2025-07-15 22:58:19.472 IST</t>
        </is>
      </c>
      <c r="M1285" t="inlineStr">
        <is>
          <t>Soundariya B</t>
        </is>
      </c>
      <c r="N1285" t="inlineStr">
        <is>
          <t>Yes</t>
        </is>
      </c>
      <c r="O1285" t="inlineStr">
        <is>
          <t>No</t>
        </is>
      </c>
      <c r="P1285" t="inlineStr"/>
      <c r="Q1285" t="inlineStr">
        <is>
          <t>Bad</t>
        </is>
      </c>
    </row>
    <row r="1286">
      <c r="A1286" t="inlineStr">
        <is>
          <t>rupam.v</t>
        </is>
      </c>
      <c r="B1286" t="inlineStr">
        <is>
          <t>Rupam Vallecha</t>
        </is>
      </c>
      <c r="C1286" t="inlineStr">
        <is>
          <t>rupam.v@osmosys.co</t>
        </is>
      </c>
      <c r="D1286" t="inlineStr">
        <is>
          <t>incident-reporter</t>
        </is>
      </c>
      <c r="E1286">
        <f>HYPERLINK("http://gitlab.osmosys.co/incident-reporter/incident-reporter-angular-portal", "OQSHA Portal")</f>
        <v/>
      </c>
      <c r="F1286">
        <f>HYPERLINK("http://gitlab.osmosys.co/incident-reporter/incident-reporter-angular-portal/-/merge_requests/3439", "feat: enhance inspection management with draft and publish")</f>
        <v/>
      </c>
      <c r="G1286" t="inlineStr">
        <is>
          <t>feat/save-as-draft-inspection</t>
        </is>
      </c>
      <c r="H1286" t="inlineStr">
        <is>
          <t>sprint-17</t>
        </is>
      </c>
      <c r="I1286" t="inlineStr">
        <is>
          <t>merged</t>
        </is>
      </c>
      <c r="J1286" t="inlineStr">
        <is>
          <t>1336a6a12c5fb24a7145524bc9f8ee6fd7bf42b5</t>
        </is>
      </c>
      <c r="K1286">
        <f>HYPERLINK("http://gitlab.osmosys.co/incident-reporter/incident-reporter-angular-portal/-/merge_requests/3439#note_237699", "added")</f>
        <v/>
      </c>
      <c r="L1286" t="inlineStr">
        <is>
          <t>2025-07-16 16:50:39.497 IST</t>
        </is>
      </c>
      <c r="M1286" t="inlineStr">
        <is>
          <t>Rupam Vallecha</t>
        </is>
      </c>
      <c r="N1286" t="inlineStr">
        <is>
          <t>No</t>
        </is>
      </c>
      <c r="O1286" t="inlineStr">
        <is>
          <t>No</t>
        </is>
      </c>
      <c r="P1286" t="inlineStr"/>
      <c r="Q1286" t="inlineStr">
        <is>
          <t>Bad</t>
        </is>
      </c>
    </row>
    <row r="1287">
      <c r="A1287" t="inlineStr">
        <is>
          <t>rupam.v</t>
        </is>
      </c>
      <c r="B1287" t="inlineStr">
        <is>
          <t>Rupam Vallecha</t>
        </is>
      </c>
      <c r="C1287" t="inlineStr">
        <is>
          <t>rupam.v@osmosys.co</t>
        </is>
      </c>
      <c r="D1287" t="inlineStr">
        <is>
          <t>incident-reporter</t>
        </is>
      </c>
      <c r="E1287">
        <f>HYPERLINK("http://gitlab.osmosys.co/incident-reporter/incident-reporter-angular-portal", "OQSHA Portal")</f>
        <v/>
      </c>
      <c r="F1287">
        <f>HYPERLINK("http://gitlab.osmosys.co/incident-reporter/incident-reporter-angular-portal/-/merge_requests/3439", "feat: enhance inspection management with draft and publish")</f>
        <v/>
      </c>
      <c r="G1287" t="inlineStr">
        <is>
          <t>feat/save-as-draft-inspection</t>
        </is>
      </c>
      <c r="H1287" t="inlineStr">
        <is>
          <t>sprint-17</t>
        </is>
      </c>
      <c r="I1287" t="inlineStr">
        <is>
          <t>merged</t>
        </is>
      </c>
      <c r="J1287" t="inlineStr">
        <is>
          <t>c4c0786cacb8ff96ebafc3b2dacd42eaebfd3d46</t>
        </is>
      </c>
      <c r="K1287">
        <f>HYPERLINK("http://gitlab.osmosys.co/incident-reporter/incident-reporter-angular-portal/-/merge_requests/3439#note_237175", "Get the route from constant file")</f>
        <v/>
      </c>
      <c r="L1287" t="inlineStr">
        <is>
          <t>2025-07-15 22:58:19.551 IST</t>
        </is>
      </c>
      <c r="M1287" t="inlineStr">
        <is>
          <t>Soundariya B</t>
        </is>
      </c>
      <c r="N1287" t="inlineStr">
        <is>
          <t>Yes</t>
        </is>
      </c>
      <c r="O1287" t="inlineStr">
        <is>
          <t>No</t>
        </is>
      </c>
      <c r="P1287" t="inlineStr"/>
      <c r="Q1287" t="inlineStr">
        <is>
          <t>Bad</t>
        </is>
      </c>
    </row>
    <row r="1288">
      <c r="A1288" t="inlineStr">
        <is>
          <t>rupam.v</t>
        </is>
      </c>
      <c r="B1288" t="inlineStr">
        <is>
          <t>Rupam Vallecha</t>
        </is>
      </c>
      <c r="C1288" t="inlineStr">
        <is>
          <t>rupam.v@osmosys.co</t>
        </is>
      </c>
      <c r="D1288" t="inlineStr">
        <is>
          <t>incident-reporter</t>
        </is>
      </c>
      <c r="E1288">
        <f>HYPERLINK("http://gitlab.osmosys.co/incident-reporter/incident-reporter-angular-portal", "OQSHA Portal")</f>
        <v/>
      </c>
      <c r="F1288">
        <f>HYPERLINK("http://gitlab.osmosys.co/incident-reporter/incident-reporter-angular-portal/-/merge_requests/3439", "feat: enhance inspection management with draft and publish")</f>
        <v/>
      </c>
      <c r="G1288" t="inlineStr">
        <is>
          <t>feat/save-as-draft-inspection</t>
        </is>
      </c>
      <c r="H1288" t="inlineStr">
        <is>
          <t>sprint-17</t>
        </is>
      </c>
      <c r="I1288" t="inlineStr">
        <is>
          <t>merged</t>
        </is>
      </c>
      <c r="J1288" t="inlineStr">
        <is>
          <t>c4c0786cacb8ff96ebafc3b2dacd42eaebfd3d46</t>
        </is>
      </c>
      <c r="K1288">
        <f>HYPERLINK("http://gitlab.osmosys.co/incident-reporter/incident-reporter-angular-portal/-/merge_requests/3439#note_237698", "done")</f>
        <v/>
      </c>
      <c r="L1288" t="inlineStr">
        <is>
          <t>2025-07-16 16:50:35.369 IST</t>
        </is>
      </c>
      <c r="M1288" t="inlineStr">
        <is>
          <t>Rupam Vallecha</t>
        </is>
      </c>
      <c r="N1288" t="inlineStr">
        <is>
          <t>No</t>
        </is>
      </c>
      <c r="O1288" t="inlineStr">
        <is>
          <t>No</t>
        </is>
      </c>
      <c r="P1288" t="inlineStr"/>
      <c r="Q1288" t="inlineStr">
        <is>
          <t>Bad</t>
        </is>
      </c>
    </row>
    <row r="1289">
      <c r="A1289" t="inlineStr">
        <is>
          <t>rupam.v</t>
        </is>
      </c>
      <c r="B1289" t="inlineStr">
        <is>
          <t>Rupam Vallecha</t>
        </is>
      </c>
      <c r="C1289" t="inlineStr">
        <is>
          <t>rupam.v@osmosys.co</t>
        </is>
      </c>
      <c r="D1289" t="inlineStr">
        <is>
          <t>incident-reporter</t>
        </is>
      </c>
      <c r="E1289">
        <f>HYPERLINK("http://gitlab.osmosys.co/incident-reporter/incident-reporter-angular-portal", "OQSHA Portal")</f>
        <v/>
      </c>
      <c r="F1289">
        <f>HYPERLINK("http://gitlab.osmosys.co/incident-reporter/incident-reporter-angular-portal/-/merge_requests/3439", "feat: enhance inspection management with draft and publish")</f>
        <v/>
      </c>
      <c r="G1289" t="inlineStr">
        <is>
          <t>feat/save-as-draft-inspection</t>
        </is>
      </c>
      <c r="H1289" t="inlineStr">
        <is>
          <t>sprint-17</t>
        </is>
      </c>
      <c r="I1289" t="inlineStr">
        <is>
          <t>merged</t>
        </is>
      </c>
      <c r="J1289" t="inlineStr">
        <is>
          <t>544ffa41a641ea95fab62095a2afbf6577daca50</t>
        </is>
      </c>
      <c r="K1289">
        <f>HYPERLINK("http://gitlab.osmosys.co/incident-reporter/incident-reporter-angular-portal/-/merge_requests/3439#note_237176", "It can be done as if else here another if is not needed please improve it")</f>
        <v/>
      </c>
      <c r="L1289" t="inlineStr">
        <is>
          <t>2025-07-15 22:58:19.601 IST</t>
        </is>
      </c>
      <c r="M1289" t="inlineStr">
        <is>
          <t>Soundariya B</t>
        </is>
      </c>
      <c r="N1289" t="inlineStr">
        <is>
          <t>Yes</t>
        </is>
      </c>
      <c r="O1289" t="inlineStr">
        <is>
          <t>No</t>
        </is>
      </c>
      <c r="P1289" t="inlineStr"/>
      <c r="Q1289" t="inlineStr">
        <is>
          <t>Bad</t>
        </is>
      </c>
    </row>
    <row r="1290">
      <c r="A1290" t="inlineStr">
        <is>
          <t>rupam.v</t>
        </is>
      </c>
      <c r="B1290" t="inlineStr">
        <is>
          <t>Rupam Vallecha</t>
        </is>
      </c>
      <c r="C1290" t="inlineStr">
        <is>
          <t>rupam.v@osmosys.co</t>
        </is>
      </c>
      <c r="D1290" t="inlineStr">
        <is>
          <t>incident-reporter</t>
        </is>
      </c>
      <c r="E1290">
        <f>HYPERLINK("http://gitlab.osmosys.co/incident-reporter/incident-reporter-angular-portal", "OQSHA Portal")</f>
        <v/>
      </c>
      <c r="F1290">
        <f>HYPERLINK("http://gitlab.osmosys.co/incident-reporter/incident-reporter-angular-portal/-/merge_requests/3439", "feat: enhance inspection management with draft and publish")</f>
        <v/>
      </c>
      <c r="G1290" t="inlineStr">
        <is>
          <t>feat/save-as-draft-inspection</t>
        </is>
      </c>
      <c r="H1290" t="inlineStr">
        <is>
          <t>sprint-17</t>
        </is>
      </c>
      <c r="I1290" t="inlineStr">
        <is>
          <t>merged</t>
        </is>
      </c>
      <c r="J1290" t="inlineStr">
        <is>
          <t>544ffa41a641ea95fab62095a2afbf6577daca50</t>
        </is>
      </c>
      <c r="K1290">
        <f>HYPERLINK("http://gitlab.osmosys.co/incident-reporter/incident-reporter-angular-portal/-/merge_requests/3439#note_237695", "![image.png](/uploads/15c396c7750fb93fc60bbf9365208c4c/image.png){width=558 height=282}")</f>
        <v/>
      </c>
      <c r="L1290" t="inlineStr">
        <is>
          <t>2025-07-16 16:49:25.977 IST</t>
        </is>
      </c>
      <c r="M1290" t="inlineStr">
        <is>
          <t>Rupam Vallecha</t>
        </is>
      </c>
      <c r="N1290" t="inlineStr">
        <is>
          <t>No</t>
        </is>
      </c>
      <c r="O1290" t="inlineStr">
        <is>
          <t>No</t>
        </is>
      </c>
      <c r="P1290" t="inlineStr"/>
      <c r="Q1290" t="inlineStr">
        <is>
          <t>Bad</t>
        </is>
      </c>
    </row>
    <row r="1291">
      <c r="A1291" t="inlineStr">
        <is>
          <t>rupam.v</t>
        </is>
      </c>
      <c r="B1291" t="inlineStr">
        <is>
          <t>Rupam Vallecha</t>
        </is>
      </c>
      <c r="C1291" t="inlineStr">
        <is>
          <t>rupam.v@osmosys.co</t>
        </is>
      </c>
      <c r="D1291" t="inlineStr">
        <is>
          <t>incident-reporter</t>
        </is>
      </c>
      <c r="E1291">
        <f>HYPERLINK("http://gitlab.osmosys.co/incident-reporter/incident-reporter-angular-portal", "OQSHA Portal")</f>
        <v/>
      </c>
      <c r="F1291">
        <f>HYPERLINK("http://gitlab.osmosys.co/incident-reporter/incident-reporter-angular-portal/-/merge_requests/3439", "feat: enhance inspection management with draft and publish")</f>
        <v/>
      </c>
      <c r="G1291" t="inlineStr">
        <is>
          <t>feat/save-as-draft-inspection</t>
        </is>
      </c>
      <c r="H1291" t="inlineStr">
        <is>
          <t>sprint-17</t>
        </is>
      </c>
      <c r="I1291" t="inlineStr">
        <is>
          <t>merged</t>
        </is>
      </c>
      <c r="J1291" t="inlineStr">
        <is>
          <t>d1bab08598ad5123418e6879e7c18550d3bf4213</t>
        </is>
      </c>
      <c r="K1291">
        <f>HYPERLINK("http://gitlab.osmosys.co/incident-reporter/incident-reporter-angular-portal/-/merge_requests/3439#note_237178", "Please attach the SS and screen recording as well")</f>
        <v/>
      </c>
      <c r="L1291" t="inlineStr">
        <is>
          <t>2025-07-15 22:58:54.751 IST</t>
        </is>
      </c>
      <c r="M1291" t="inlineStr">
        <is>
          <t>Soundariya B</t>
        </is>
      </c>
      <c r="N1291" t="inlineStr">
        <is>
          <t>Yes</t>
        </is>
      </c>
      <c r="O1291" t="inlineStr">
        <is>
          <t>No</t>
        </is>
      </c>
      <c r="P1291" t="inlineStr"/>
      <c r="Q1291" t="inlineStr">
        <is>
          <t>Bad</t>
        </is>
      </c>
    </row>
    <row r="1292">
      <c r="A1292" t="inlineStr">
        <is>
          <t>rupam.v</t>
        </is>
      </c>
      <c r="B1292" t="inlineStr">
        <is>
          <t>Rupam Vallecha</t>
        </is>
      </c>
      <c r="C1292" t="inlineStr">
        <is>
          <t>rupam.v@osmosys.co</t>
        </is>
      </c>
      <c r="D1292" t="inlineStr">
        <is>
          <t>incident-reporter</t>
        </is>
      </c>
      <c r="E1292">
        <f>HYPERLINK("http://gitlab.osmosys.co/incident-reporter/incident-reporter-angular-portal", "OQSHA Portal")</f>
        <v/>
      </c>
      <c r="F1292">
        <f>HYPERLINK("http://gitlab.osmosys.co/incident-reporter/incident-reporter-angular-portal/-/merge_requests/3409", "feat: add department selection to inspection details and filters")</f>
        <v/>
      </c>
      <c r="G1292" t="inlineStr">
        <is>
          <t>feat/associate-department-inspection</t>
        </is>
      </c>
      <c r="H1292" t="inlineStr">
        <is>
          <t>sprint-17</t>
        </is>
      </c>
      <c r="I1292" t="inlineStr">
        <is>
          <t>merged</t>
        </is>
      </c>
      <c r="J1292" t="inlineStr">
        <is>
          <t>64fafd485689779c366cd3a0b9f044a23ee76242</t>
        </is>
      </c>
      <c r="K1292">
        <f>HYPERLINK("http://gitlab.osmosys.co/incident-reporter/incident-reporter-angular-portal/-/merge_requests/3409#note_234744", "For label 'for' attribute the id is not using at all for this field")</f>
        <v/>
      </c>
      <c r="L1292" t="inlineStr">
        <is>
          <t>2025-07-11 00:30:31.355 IST</t>
        </is>
      </c>
      <c r="M1292" t="inlineStr">
        <is>
          <t>Soundariya B</t>
        </is>
      </c>
      <c r="N1292" t="inlineStr">
        <is>
          <t>Yes</t>
        </is>
      </c>
      <c r="O1292" t="inlineStr">
        <is>
          <t>Yes</t>
        </is>
      </c>
      <c r="P1292" t="inlineStr">
        <is>
          <t>Soundariya B</t>
        </is>
      </c>
      <c r="Q1292" t="inlineStr">
        <is>
          <t>Bad</t>
        </is>
      </c>
    </row>
    <row r="1293">
      <c r="A1293" t="inlineStr">
        <is>
          <t>rupam.v</t>
        </is>
      </c>
      <c r="B1293" t="inlineStr">
        <is>
          <t>Rupam Vallecha</t>
        </is>
      </c>
      <c r="C1293" t="inlineStr">
        <is>
          <t>rupam.v@osmosys.co</t>
        </is>
      </c>
      <c r="D1293" t="inlineStr">
        <is>
          <t>incident-reporter</t>
        </is>
      </c>
      <c r="E1293">
        <f>HYPERLINK("http://gitlab.osmosys.co/incident-reporter/incident-reporter-angular-portal", "OQSHA Portal")</f>
        <v/>
      </c>
      <c r="F1293">
        <f>HYPERLINK("http://gitlab.osmosys.co/incident-reporter/incident-reporter-angular-portal/-/merge_requests/3409", "feat: add department selection to inspection details and filters")</f>
        <v/>
      </c>
      <c r="G1293" t="inlineStr">
        <is>
          <t>feat/associate-department-inspection</t>
        </is>
      </c>
      <c r="H1293" t="inlineStr">
        <is>
          <t>sprint-17</t>
        </is>
      </c>
      <c r="I1293" t="inlineStr">
        <is>
          <t>merged</t>
        </is>
      </c>
      <c r="J1293" t="inlineStr">
        <is>
          <t>64fafd485689779c366cd3a0b9f044a23ee76242</t>
        </is>
      </c>
      <c r="K1293">
        <f>HYPERLINK("http://gitlab.osmosys.co/incident-reporter/incident-reporter-angular-portal/-/merge_requests/3409#note_235040", "can remove")</f>
        <v/>
      </c>
      <c r="L1293" t="inlineStr">
        <is>
          <t>2025-07-11 12:11:48.200 IST</t>
        </is>
      </c>
      <c r="M1293" t="inlineStr">
        <is>
          <t>Rupam Vallecha</t>
        </is>
      </c>
      <c r="N1293" t="inlineStr">
        <is>
          <t>No</t>
        </is>
      </c>
      <c r="O1293" t="inlineStr">
        <is>
          <t>Yes</t>
        </is>
      </c>
      <c r="P1293" t="inlineStr">
        <is>
          <t>Soundariya B</t>
        </is>
      </c>
      <c r="Q1293" t="inlineStr">
        <is>
          <t>Bad</t>
        </is>
      </c>
    </row>
    <row r="1294">
      <c r="A1294" t="inlineStr">
        <is>
          <t>rupam.v</t>
        </is>
      </c>
      <c r="B1294" t="inlineStr">
        <is>
          <t>Rupam Vallecha</t>
        </is>
      </c>
      <c r="C1294" t="inlineStr">
        <is>
          <t>rupam.v@osmosys.co</t>
        </is>
      </c>
      <c r="D1294" t="inlineStr">
        <is>
          <t>incident-reporter</t>
        </is>
      </c>
      <c r="E1294">
        <f>HYPERLINK("http://gitlab.osmosys.co/incident-reporter/incident-reporter-angular-portal", "OQSHA Portal")</f>
        <v/>
      </c>
      <c r="F1294">
        <f>HYPERLINK("http://gitlab.osmosys.co/incident-reporter/incident-reporter-angular-portal/-/merge_requests/3409", "feat: add department selection to inspection details and filters")</f>
        <v/>
      </c>
      <c r="G1294" t="inlineStr">
        <is>
          <t>feat/associate-department-inspection</t>
        </is>
      </c>
      <c r="H1294" t="inlineStr">
        <is>
          <t>sprint-17</t>
        </is>
      </c>
      <c r="I1294" t="inlineStr">
        <is>
          <t>merged</t>
        </is>
      </c>
      <c r="J1294" t="inlineStr">
        <is>
          <t>91a1d411c676243761099677c27d8914d605d7cb</t>
        </is>
      </c>
      <c r="K1294">
        <f>HYPERLINK("http://gitlab.osmosys.co/incident-reporter/incident-reporter-angular-portal/-/merge_requests/3409#note_234745", "Please declared the data type of new added variable along with existing which didn't declared if possible")</f>
        <v/>
      </c>
      <c r="L1294" t="inlineStr">
        <is>
          <t>2025-07-11 00:30:31.463 IST</t>
        </is>
      </c>
      <c r="M1294" t="inlineStr">
        <is>
          <t>Soundariya B</t>
        </is>
      </c>
      <c r="N1294" t="inlineStr">
        <is>
          <t>Yes</t>
        </is>
      </c>
      <c r="O1294" t="inlineStr">
        <is>
          <t>Yes</t>
        </is>
      </c>
      <c r="P1294" t="inlineStr">
        <is>
          <t>Soundariya B</t>
        </is>
      </c>
      <c r="Q1294" t="inlineStr">
        <is>
          <t>Bad</t>
        </is>
      </c>
    </row>
    <row r="1295">
      <c r="A1295" t="inlineStr">
        <is>
          <t>rupam.v</t>
        </is>
      </c>
      <c r="B1295" t="inlineStr">
        <is>
          <t>Rupam Vallecha</t>
        </is>
      </c>
      <c r="C1295" t="inlineStr">
        <is>
          <t>rupam.v@osmosys.co</t>
        </is>
      </c>
      <c r="D1295" t="inlineStr">
        <is>
          <t>incident-reporter</t>
        </is>
      </c>
      <c r="E1295">
        <f>HYPERLINK("http://gitlab.osmosys.co/incident-reporter/incident-reporter-angular-portal", "OQSHA Portal")</f>
        <v/>
      </c>
      <c r="F1295">
        <f>HYPERLINK("http://gitlab.osmosys.co/incident-reporter/incident-reporter-angular-portal/-/merge_requests/3409", "feat: add department selection to inspection details and filters")</f>
        <v/>
      </c>
      <c r="G1295" t="inlineStr">
        <is>
          <t>feat/associate-department-inspection</t>
        </is>
      </c>
      <c r="H1295" t="inlineStr">
        <is>
          <t>sprint-17</t>
        </is>
      </c>
      <c r="I1295" t="inlineStr">
        <is>
          <t>merged</t>
        </is>
      </c>
      <c r="J1295" t="inlineStr">
        <is>
          <t>91a1d411c676243761099677c27d8914d605d7cb</t>
        </is>
      </c>
      <c r="K1295">
        <f>HYPERLINK("http://gitlab.osmosys.co/incident-reporter/incident-reporter-angular-portal/-/merge_requests/3409#note_235041", "added")</f>
        <v/>
      </c>
      <c r="L1295" t="inlineStr">
        <is>
          <t>2025-07-11 12:12:36.429 IST</t>
        </is>
      </c>
      <c r="M1295" t="inlineStr">
        <is>
          <t>Rupam Vallecha</t>
        </is>
      </c>
      <c r="N1295" t="inlineStr">
        <is>
          <t>No</t>
        </is>
      </c>
      <c r="O1295" t="inlineStr">
        <is>
          <t>Yes</t>
        </is>
      </c>
      <c r="P1295" t="inlineStr">
        <is>
          <t>Soundariya B</t>
        </is>
      </c>
      <c r="Q1295" t="inlineStr">
        <is>
          <t>Bad</t>
        </is>
      </c>
    </row>
    <row r="1296">
      <c r="A1296" t="inlineStr">
        <is>
          <t>rupam.v</t>
        </is>
      </c>
      <c r="B1296" t="inlineStr">
        <is>
          <t>Rupam Vallecha</t>
        </is>
      </c>
      <c r="C1296" t="inlineStr">
        <is>
          <t>rupam.v@osmosys.co</t>
        </is>
      </c>
      <c r="D1296" t="inlineStr">
        <is>
          <t>incident-reporter</t>
        </is>
      </c>
      <c r="E1296">
        <f>HYPERLINK("http://gitlab.osmosys.co/incident-reporter/incident-reporter-angular-portal", "OQSHA Portal")</f>
        <v/>
      </c>
      <c r="F1296">
        <f>HYPERLINK("http://gitlab.osmosys.co/incident-reporter/incident-reporter-angular-portal/-/merge_requests/3409", "feat: add department selection to inspection details and filters")</f>
        <v/>
      </c>
      <c r="G1296" t="inlineStr">
        <is>
          <t>feat/associate-department-inspection</t>
        </is>
      </c>
      <c r="H1296" t="inlineStr">
        <is>
          <t>sprint-17</t>
        </is>
      </c>
      <c r="I1296" t="inlineStr">
        <is>
          <t>merged</t>
        </is>
      </c>
      <c r="J1296" t="inlineStr">
        <is>
          <t>6a0a27f90c4dcc45a76254b7ce0a47bf22ad2877</t>
        </is>
      </c>
      <c r="K1296">
        <f>HYPERLINK("http://gitlab.osmosys.co/incident-reporter/incident-reporter-angular-portal/-/merge_requests/3409#note_234746", "Can you use single method as you are the function do same thing so make it one function name as onDepartmentEvent() and use it where its required - it doesn't make sense to use same logic in different functions")</f>
        <v/>
      </c>
      <c r="L1296" t="inlineStr">
        <is>
          <t>2025-07-11 00:30:31.553 IST</t>
        </is>
      </c>
      <c r="M1296" t="inlineStr">
        <is>
          <t>Soundariya B</t>
        </is>
      </c>
      <c r="N1296" t="inlineStr">
        <is>
          <t>Yes</t>
        </is>
      </c>
      <c r="O1296" t="inlineStr">
        <is>
          <t>Yes</t>
        </is>
      </c>
      <c r="P1296" t="inlineStr">
        <is>
          <t>Soundariya B</t>
        </is>
      </c>
      <c r="Q1296" t="inlineStr">
        <is>
          <t>Bad</t>
        </is>
      </c>
    </row>
    <row r="1297">
      <c r="A1297" t="inlineStr">
        <is>
          <t>rupam.v</t>
        </is>
      </c>
      <c r="B1297" t="inlineStr">
        <is>
          <t>Rupam Vallecha</t>
        </is>
      </c>
      <c r="C1297" t="inlineStr">
        <is>
          <t>rupam.v@osmosys.co</t>
        </is>
      </c>
      <c r="D1297" t="inlineStr">
        <is>
          <t>incident-reporter</t>
        </is>
      </c>
      <c r="E1297">
        <f>HYPERLINK("http://gitlab.osmosys.co/incident-reporter/incident-reporter-angular-portal", "OQSHA Portal")</f>
        <v/>
      </c>
      <c r="F1297">
        <f>HYPERLINK("http://gitlab.osmosys.co/incident-reporter/incident-reporter-angular-portal/-/merge_requests/3409", "feat: add department selection to inspection details and filters")</f>
        <v/>
      </c>
      <c r="G1297" t="inlineStr">
        <is>
          <t>feat/associate-department-inspection</t>
        </is>
      </c>
      <c r="H1297" t="inlineStr">
        <is>
          <t>sprint-17</t>
        </is>
      </c>
      <c r="I1297" t="inlineStr">
        <is>
          <t>merged</t>
        </is>
      </c>
      <c r="J1297" t="inlineStr">
        <is>
          <t>6a0a27f90c4dcc45a76254b7ce0a47bf22ad2877</t>
        </is>
      </c>
      <c r="K1297">
        <f>HYPERLINK("http://gitlab.osmosys.co/incident-reporter/incident-reporter-angular-portal/-/merge_requests/3409#note_235039", "these were not being used, removed these.")</f>
        <v/>
      </c>
      <c r="L1297" t="inlineStr">
        <is>
          <t>2025-07-11 12:05:38.290 IST</t>
        </is>
      </c>
      <c r="M1297" t="inlineStr">
        <is>
          <t>Rupam Vallecha</t>
        </is>
      </c>
      <c r="N1297" t="inlineStr">
        <is>
          <t>No</t>
        </is>
      </c>
      <c r="O1297" t="inlineStr">
        <is>
          <t>Yes</t>
        </is>
      </c>
      <c r="P1297" t="inlineStr">
        <is>
          <t>Soundariya B</t>
        </is>
      </c>
      <c r="Q1297" t="inlineStr">
        <is>
          <t>Bad</t>
        </is>
      </c>
    </row>
    <row r="1298">
      <c r="A1298" t="inlineStr">
        <is>
          <t>rupam.v</t>
        </is>
      </c>
      <c r="B1298" t="inlineStr">
        <is>
          <t>Rupam Vallecha</t>
        </is>
      </c>
      <c r="C1298" t="inlineStr">
        <is>
          <t>rupam.v@osmosys.co</t>
        </is>
      </c>
      <c r="D1298" t="inlineStr">
        <is>
          <t>incident-reporter</t>
        </is>
      </c>
      <c r="E1298">
        <f>HYPERLINK("http://gitlab.osmosys.co/incident-reporter/incident-reporter-angular-portal", "OQSHA Portal")</f>
        <v/>
      </c>
      <c r="F1298">
        <f>HYPERLINK("http://gitlab.osmosys.co/incident-reporter/incident-reporter-angular-portal/-/merge_requests/3409", "feat: add department selection to inspection details and filters")</f>
        <v/>
      </c>
      <c r="G1298" t="inlineStr">
        <is>
          <t>feat/associate-department-inspection</t>
        </is>
      </c>
      <c r="H1298" t="inlineStr">
        <is>
          <t>sprint-17</t>
        </is>
      </c>
      <c r="I1298" t="inlineStr">
        <is>
          <t>merged</t>
        </is>
      </c>
      <c r="J1298" t="inlineStr">
        <is>
          <t>4c7c91c6190e622d11ea182285f6496f8a2d2f60</t>
        </is>
      </c>
      <c r="K1298">
        <f>HYPERLINK("http://gitlab.osmosys.co/incident-reporter/incident-reporter-angular-portal/-/merge_requests/3409#note_234747", "Why is the date type not declared? anu reason?")</f>
        <v/>
      </c>
      <c r="L1298" t="inlineStr">
        <is>
          <t>2025-07-11 00:30:31.631 IST</t>
        </is>
      </c>
      <c r="M1298" t="inlineStr">
        <is>
          <t>Soundariya B</t>
        </is>
      </c>
      <c r="N1298" t="inlineStr">
        <is>
          <t>Yes</t>
        </is>
      </c>
      <c r="O1298" t="inlineStr">
        <is>
          <t>Yes</t>
        </is>
      </c>
      <c r="P1298" t="inlineStr">
        <is>
          <t>Soundariya B</t>
        </is>
      </c>
      <c r="Q1298" t="inlineStr">
        <is>
          <t>Bad</t>
        </is>
      </c>
    </row>
    <row r="1299">
      <c r="A1299" t="inlineStr">
        <is>
          <t>rupam.v</t>
        </is>
      </c>
      <c r="B1299" t="inlineStr">
        <is>
          <t>Rupam Vallecha</t>
        </is>
      </c>
      <c r="C1299" t="inlineStr">
        <is>
          <t>rupam.v@osmosys.co</t>
        </is>
      </c>
      <c r="D1299" t="inlineStr">
        <is>
          <t>incident-reporter</t>
        </is>
      </c>
      <c r="E1299">
        <f>HYPERLINK("http://gitlab.osmosys.co/incident-reporter/incident-reporter-angular-portal", "OQSHA Portal")</f>
        <v/>
      </c>
      <c r="F1299">
        <f>HYPERLINK("http://gitlab.osmosys.co/incident-reporter/incident-reporter-angular-portal/-/merge_requests/3409", "feat: add department selection to inspection details and filters")</f>
        <v/>
      </c>
      <c r="G1299" t="inlineStr">
        <is>
          <t>feat/associate-department-inspection</t>
        </is>
      </c>
      <c r="H1299" t="inlineStr">
        <is>
          <t>sprint-17</t>
        </is>
      </c>
      <c r="I1299" t="inlineStr">
        <is>
          <t>merged</t>
        </is>
      </c>
      <c r="J1299" t="inlineStr">
        <is>
          <t>4c7c91c6190e622d11ea182285f6496f8a2d2f60</t>
        </is>
      </c>
      <c r="K1299">
        <f>HYPERLINK("http://gitlab.osmosys.co/incident-reporter/incident-reporter-angular-portal/-/merge_requests/3409#note_235038", "no reason")</f>
        <v/>
      </c>
      <c r="L1299" t="inlineStr">
        <is>
          <t>2025-07-11 12:04:34.407 IST</t>
        </is>
      </c>
      <c r="M1299" t="inlineStr">
        <is>
          <t>Rupam Vallecha</t>
        </is>
      </c>
      <c r="N1299" t="inlineStr">
        <is>
          <t>No</t>
        </is>
      </c>
      <c r="O1299" t="inlineStr">
        <is>
          <t>Yes</t>
        </is>
      </c>
      <c r="P1299" t="inlineStr">
        <is>
          <t>Soundariya B</t>
        </is>
      </c>
      <c r="Q1299" t="inlineStr">
        <is>
          <t>Bad</t>
        </is>
      </c>
    </row>
    <row r="1300">
      <c r="A1300" t="inlineStr">
        <is>
          <t>rupam.v</t>
        </is>
      </c>
      <c r="B1300" t="inlineStr">
        <is>
          <t>Rupam Vallecha</t>
        </is>
      </c>
      <c r="C1300" t="inlineStr">
        <is>
          <t>rupam.v@osmosys.co</t>
        </is>
      </c>
      <c r="D1300" t="inlineStr">
        <is>
          <t>incident-reporter</t>
        </is>
      </c>
      <c r="E1300">
        <f>HYPERLINK("http://gitlab.osmosys.co/incident-reporter/incident-reporter-angular-portal", "OQSHA Portal")</f>
        <v/>
      </c>
      <c r="F1300">
        <f>HYPERLINK("http://gitlab.osmosys.co/incident-reporter/incident-reporter-angular-portal/-/merge_requests/3403", "feat: add record save status for inspection type")</f>
        <v/>
      </c>
      <c r="G1300" t="inlineStr">
        <is>
          <t>feat/save-status-inspection</t>
        </is>
      </c>
      <c r="H1300" t="inlineStr">
        <is>
          <t>sprint-17</t>
        </is>
      </c>
      <c r="I1300" t="inlineStr">
        <is>
          <t>merged</t>
        </is>
      </c>
      <c r="J1300" t="inlineStr">
        <is>
          <t>5320f0774a07194d80eed69b67dbea7f44775071</t>
        </is>
      </c>
      <c r="K1300">
        <f>HYPERLINK("http://gitlab.osmosys.co/incident-reporter/incident-reporter-angular-portal/-/merge_requests/3403#note_234851", "If any of these using for rendering on UI then these must be come from lang files not from constant file")</f>
        <v/>
      </c>
      <c r="L1300" t="inlineStr">
        <is>
          <t>2025-07-11 01:52:35.591 IST</t>
        </is>
      </c>
      <c r="M1300" t="inlineStr">
        <is>
          <t>Soundariya B</t>
        </is>
      </c>
      <c r="N1300" t="inlineStr">
        <is>
          <t>Yes</t>
        </is>
      </c>
      <c r="O1300" t="inlineStr">
        <is>
          <t>Yes</t>
        </is>
      </c>
      <c r="P1300" t="inlineStr">
        <is>
          <t>Soundariya B</t>
        </is>
      </c>
      <c r="Q1300" t="inlineStr">
        <is>
          <t>Bad</t>
        </is>
      </c>
    </row>
    <row r="1301">
      <c r="A1301" t="inlineStr">
        <is>
          <t>rupam.v</t>
        </is>
      </c>
      <c r="B1301" t="inlineStr">
        <is>
          <t>Rupam Vallecha</t>
        </is>
      </c>
      <c r="C1301" t="inlineStr">
        <is>
          <t>rupam.v@osmosys.co</t>
        </is>
      </c>
      <c r="D1301" t="inlineStr">
        <is>
          <t>incident-reporter</t>
        </is>
      </c>
      <c r="E1301">
        <f>HYPERLINK("http://gitlab.osmosys.co/incident-reporter/incident-reporter-angular-portal", "OQSHA Portal")</f>
        <v/>
      </c>
      <c r="F1301">
        <f>HYPERLINK("http://gitlab.osmosys.co/incident-reporter/incident-reporter-angular-portal/-/merge_requests/3403", "feat: add record save status for inspection type")</f>
        <v/>
      </c>
      <c r="G1301" t="inlineStr">
        <is>
          <t>feat/save-status-inspection</t>
        </is>
      </c>
      <c r="H1301" t="inlineStr">
        <is>
          <t>sprint-17</t>
        </is>
      </c>
      <c r="I1301" t="inlineStr">
        <is>
          <t>merged</t>
        </is>
      </c>
      <c r="J1301" t="inlineStr">
        <is>
          <t>5320f0774a07194d80eed69b67dbea7f44775071</t>
        </is>
      </c>
      <c r="K1301">
        <f>HYPERLINK("http://gitlab.osmosys.co/incident-reporter/incident-reporter-angular-portal/-/merge_requests/3403#note_235124", "no this will be from constants only")</f>
        <v/>
      </c>
      <c r="L1301" t="inlineStr">
        <is>
          <t>2025-07-11 13:20:13.144 IST</t>
        </is>
      </c>
      <c r="M1301" t="inlineStr">
        <is>
          <t>Rupam Vallecha</t>
        </is>
      </c>
      <c r="N1301" t="inlineStr">
        <is>
          <t>No</t>
        </is>
      </c>
      <c r="O1301" t="inlineStr">
        <is>
          <t>Yes</t>
        </is>
      </c>
      <c r="P1301" t="inlineStr">
        <is>
          <t>Soundariya B</t>
        </is>
      </c>
      <c r="Q1301" t="inlineStr">
        <is>
          <t>Bad</t>
        </is>
      </c>
    </row>
    <row r="1302">
      <c r="A1302" t="inlineStr">
        <is>
          <t>rupam.v</t>
        </is>
      </c>
      <c r="B1302" t="inlineStr">
        <is>
          <t>Rupam Vallecha</t>
        </is>
      </c>
      <c r="C1302" t="inlineStr">
        <is>
          <t>rupam.v@osmosys.co</t>
        </is>
      </c>
      <c r="D1302" t="inlineStr">
        <is>
          <t>incident-reporter</t>
        </is>
      </c>
      <c r="E1302">
        <f>HYPERLINK("http://gitlab.osmosys.co/incident-reporter/incident-reporter-angular-portal", "OQSHA Portal")</f>
        <v/>
      </c>
      <c r="F1302">
        <f>HYPERLINK("http://gitlab.osmosys.co/incident-reporter/incident-reporter-angular-portal/-/merge_requests/3403", "feat: add record save status for inspection type")</f>
        <v/>
      </c>
      <c r="G1302" t="inlineStr">
        <is>
          <t>feat/save-status-inspection</t>
        </is>
      </c>
      <c r="H1302" t="inlineStr">
        <is>
          <t>sprint-17</t>
        </is>
      </c>
      <c r="I1302" t="inlineStr">
        <is>
          <t>merged</t>
        </is>
      </c>
      <c r="J1302" t="inlineStr">
        <is>
          <t>cd4cc5a5c75d84c3c7c6b30cee79579ca928dc19</t>
        </is>
      </c>
      <c r="K1302">
        <f>HYPERLINK("http://gitlab.osmosys.co/incident-reporter/incident-reporter-angular-portal/-/merge_requests/3403#note_234852", "Use block structure and you can use if else block instead of two if's")</f>
        <v/>
      </c>
      <c r="L1302" t="inlineStr">
        <is>
          <t>2025-07-11 01:52:35.695 IST</t>
        </is>
      </c>
      <c r="M1302" t="inlineStr">
        <is>
          <t>Soundariya B</t>
        </is>
      </c>
      <c r="N1302" t="inlineStr">
        <is>
          <t>Yes</t>
        </is>
      </c>
      <c r="O1302" t="inlineStr">
        <is>
          <t>Yes</t>
        </is>
      </c>
      <c r="P1302" t="inlineStr">
        <is>
          <t>Soundariya B</t>
        </is>
      </c>
      <c r="Q1302" t="inlineStr">
        <is>
          <t>Bad</t>
        </is>
      </c>
    </row>
    <row r="1303">
      <c r="A1303" t="inlineStr">
        <is>
          <t>rupam.v</t>
        </is>
      </c>
      <c r="B1303" t="inlineStr">
        <is>
          <t>Rupam Vallecha</t>
        </is>
      </c>
      <c r="C1303" t="inlineStr">
        <is>
          <t>rupam.v@osmosys.co</t>
        </is>
      </c>
      <c r="D1303" t="inlineStr">
        <is>
          <t>incident-reporter</t>
        </is>
      </c>
      <c r="E1303">
        <f>HYPERLINK("http://gitlab.osmosys.co/incident-reporter/incident-reporter-angular-portal", "OQSHA Portal")</f>
        <v/>
      </c>
      <c r="F1303">
        <f>HYPERLINK("http://gitlab.osmosys.co/incident-reporter/incident-reporter-angular-portal/-/merge_requests/3403", "feat: add record save status for inspection type")</f>
        <v/>
      </c>
      <c r="G1303" t="inlineStr">
        <is>
          <t>feat/save-status-inspection</t>
        </is>
      </c>
      <c r="H1303" t="inlineStr">
        <is>
          <t>sprint-17</t>
        </is>
      </c>
      <c r="I1303" t="inlineStr">
        <is>
          <t>merged</t>
        </is>
      </c>
      <c r="J1303" t="inlineStr">
        <is>
          <t>cd4cc5a5c75d84c3c7c6b30cee79579ca928dc19</t>
        </is>
      </c>
      <c r="K1303">
        <f>HYPERLINK("http://gitlab.osmosys.co/incident-reporter/incident-reporter-angular-portal/-/merge_requests/3403#note_235135", "done")</f>
        <v/>
      </c>
      <c r="L1303" t="inlineStr">
        <is>
          <t>2025-07-11 13:23:30.250 IST</t>
        </is>
      </c>
      <c r="M1303" t="inlineStr">
        <is>
          <t>Rupam Vallecha</t>
        </is>
      </c>
      <c r="N1303" t="inlineStr">
        <is>
          <t>No</t>
        </is>
      </c>
      <c r="O1303" t="inlineStr">
        <is>
          <t>Yes</t>
        </is>
      </c>
      <c r="P1303" t="inlineStr">
        <is>
          <t>Soundariya B</t>
        </is>
      </c>
      <c r="Q1303" t="inlineStr">
        <is>
          <t>Bad</t>
        </is>
      </c>
    </row>
    <row r="1304">
      <c r="A1304" t="inlineStr">
        <is>
          <t>rupam.v</t>
        </is>
      </c>
      <c r="B1304" t="inlineStr">
        <is>
          <t>Rupam Vallecha</t>
        </is>
      </c>
      <c r="C1304" t="inlineStr">
        <is>
          <t>rupam.v@osmosys.co</t>
        </is>
      </c>
      <c r="D1304" t="inlineStr">
        <is>
          <t>incident-reporter</t>
        </is>
      </c>
      <c r="E1304">
        <f>HYPERLINK("http://gitlab.osmosys.co/incident-reporter/incident-reporter-angular-portal", "OQSHA Portal")</f>
        <v/>
      </c>
      <c r="F1304">
        <f>HYPERLINK("http://gitlab.osmosys.co/incident-reporter/incident-reporter-angular-portal/-/merge_requests/3403", "feat: add record save status for inspection type")</f>
        <v/>
      </c>
      <c r="G1304" t="inlineStr">
        <is>
          <t>feat/save-status-inspection</t>
        </is>
      </c>
      <c r="H1304" t="inlineStr">
        <is>
          <t>sprint-17</t>
        </is>
      </c>
      <c r="I1304" t="inlineStr">
        <is>
          <t>merged</t>
        </is>
      </c>
      <c r="J1304" t="inlineStr">
        <is>
          <t>905d6041d588dd115ee405399cc18a42edc1841b</t>
        </is>
      </c>
      <c r="K1304">
        <f>HYPERLINK("http://gitlab.osmosys.co/incident-reporter/incident-reporter-angular-portal/-/merge_requests/3403#note_234853", "I think we can give this as 'Submit &amp; Publish'")</f>
        <v/>
      </c>
      <c r="L1304" t="inlineStr">
        <is>
          <t>2025-07-11 01:52:35.794 IST</t>
        </is>
      </c>
      <c r="M1304" t="inlineStr">
        <is>
          <t>Soundariya B</t>
        </is>
      </c>
      <c r="N1304" t="inlineStr">
        <is>
          <t>Yes</t>
        </is>
      </c>
      <c r="O1304" t="inlineStr">
        <is>
          <t>Yes</t>
        </is>
      </c>
      <c r="P1304" t="inlineStr">
        <is>
          <t>Soundariya B</t>
        </is>
      </c>
      <c r="Q1304" t="inlineStr">
        <is>
          <t>Neutral</t>
        </is>
      </c>
    </row>
    <row r="1305">
      <c r="A1305" t="inlineStr">
        <is>
          <t>rupam.v</t>
        </is>
      </c>
      <c r="B1305" t="inlineStr">
        <is>
          <t>Rupam Vallecha</t>
        </is>
      </c>
      <c r="C1305" t="inlineStr">
        <is>
          <t>rupam.v@osmosys.co</t>
        </is>
      </c>
      <c r="D1305" t="inlineStr">
        <is>
          <t>incident-reporter</t>
        </is>
      </c>
      <c r="E1305">
        <f>HYPERLINK("http://gitlab.osmosys.co/incident-reporter/incident-reporter-angular-portal", "OQSHA Portal")</f>
        <v/>
      </c>
      <c r="F1305">
        <f>HYPERLINK("http://gitlab.osmosys.co/incident-reporter/incident-reporter-angular-portal/-/merge_requests/3403", "feat: add record save status for inspection type")</f>
        <v/>
      </c>
      <c r="G1305" t="inlineStr">
        <is>
          <t>feat/save-status-inspection</t>
        </is>
      </c>
      <c r="H1305" t="inlineStr">
        <is>
          <t>sprint-17</t>
        </is>
      </c>
      <c r="I1305" t="inlineStr">
        <is>
          <t>merged</t>
        </is>
      </c>
      <c r="J1305" t="inlineStr">
        <is>
          <t>905d6041d588dd115ee405399cc18a42edc1841b</t>
        </is>
      </c>
      <c r="K1305">
        <f>HYPERLINK("http://gitlab.osmosys.co/incident-reporter/incident-reporter-angular-portal/-/merge_requests/3403#note_235134", "will ask raj and update if required in other PR")</f>
        <v/>
      </c>
      <c r="L1305" t="inlineStr">
        <is>
          <t>2025-07-11 13:23:22.006 IST</t>
        </is>
      </c>
      <c r="M1305" t="inlineStr">
        <is>
          <t>Rupam Vallecha</t>
        </is>
      </c>
      <c r="N1305" t="inlineStr">
        <is>
          <t>No</t>
        </is>
      </c>
      <c r="O1305" t="inlineStr">
        <is>
          <t>Yes</t>
        </is>
      </c>
      <c r="P1305" t="inlineStr">
        <is>
          <t>Soundariya B</t>
        </is>
      </c>
      <c r="Q1305" t="inlineStr">
        <is>
          <t>Neutral</t>
        </is>
      </c>
    </row>
    <row r="1306">
      <c r="A1306" t="inlineStr">
        <is>
          <t>rupam.v</t>
        </is>
      </c>
      <c r="B1306" t="inlineStr">
        <is>
          <t>Rupam Vallecha</t>
        </is>
      </c>
      <c r="C1306" t="inlineStr">
        <is>
          <t>rupam.v@osmosys.co</t>
        </is>
      </c>
      <c r="D1306" t="inlineStr">
        <is>
          <t>incident-reporter</t>
        </is>
      </c>
      <c r="E1306">
        <f>HYPERLINK("http://gitlab.osmosys.co/incident-reporter/incident-reporter-angular-portal", "OQSHA Portal")</f>
        <v/>
      </c>
      <c r="F1306">
        <f>HYPERLINK("http://gitlab.osmosys.co/incident-reporter/incident-reporter-angular-portal/-/merge_requests/3403", "feat: add record save status for inspection type")</f>
        <v/>
      </c>
      <c r="G1306" t="inlineStr">
        <is>
          <t>feat/save-status-inspection</t>
        </is>
      </c>
      <c r="H1306" t="inlineStr">
        <is>
          <t>sprint-17</t>
        </is>
      </c>
      <c r="I1306" t="inlineStr">
        <is>
          <t>merged</t>
        </is>
      </c>
      <c r="J1306" t="inlineStr">
        <is>
          <t>c8fb60944984c688325cff7cb1b3ad5c987167cd</t>
        </is>
      </c>
      <c r="K1306">
        <f>HYPERLINK("http://gitlab.osmosys.co/incident-reporter/incident-reporter-angular-portal/-/merge_requests/3403#note_234855", "Test case not following the standard test case template - please make the process consistent for all PRs")</f>
        <v/>
      </c>
      <c r="L1306" t="inlineStr">
        <is>
          <t>2025-07-11 01:54:00.924 IST</t>
        </is>
      </c>
      <c r="M1306" t="inlineStr">
        <is>
          <t>Soundariya B</t>
        </is>
      </c>
      <c r="N1306" t="inlineStr">
        <is>
          <t>Yes</t>
        </is>
      </c>
      <c r="O1306" t="inlineStr">
        <is>
          <t>Yes</t>
        </is>
      </c>
      <c r="P1306" t="inlineStr">
        <is>
          <t>Soundariya B</t>
        </is>
      </c>
      <c r="Q1306" t="inlineStr">
        <is>
          <t>Neutral</t>
        </is>
      </c>
    </row>
    <row r="1307">
      <c r="A1307" t="inlineStr">
        <is>
          <t>rupam.v</t>
        </is>
      </c>
      <c r="B1307" t="inlineStr">
        <is>
          <t>Rupam Vallecha</t>
        </is>
      </c>
      <c r="C1307" t="inlineStr">
        <is>
          <t>rupam.v@osmosys.co</t>
        </is>
      </c>
      <c r="D1307" t="inlineStr">
        <is>
          <t>incident-reporter</t>
        </is>
      </c>
      <c r="E1307">
        <f>HYPERLINK("http://gitlab.osmosys.co/incident-reporter/incident-reporter-angular-portal", "OQSHA Portal")</f>
        <v/>
      </c>
      <c r="F1307">
        <f>HYPERLINK("http://gitlab.osmosys.co/incident-reporter/incident-reporter-angular-portal/-/merge_requests/3403", "feat: add record save status for inspection type")</f>
        <v/>
      </c>
      <c r="G1307" t="inlineStr">
        <is>
          <t>feat/save-status-inspection</t>
        </is>
      </c>
      <c r="H1307" t="inlineStr">
        <is>
          <t>sprint-17</t>
        </is>
      </c>
      <c r="I1307" t="inlineStr">
        <is>
          <t>merged</t>
        </is>
      </c>
      <c r="J1307" t="inlineStr">
        <is>
          <t>c8fb60944984c688325cff7cb1b3ad5c987167cd</t>
        </is>
      </c>
      <c r="K1307">
        <f>HYPERLINK("http://gitlab.osmosys.co/incident-reporter/incident-reporter-angular-portal/-/merge_requests/3403#note_235126", "because headings do not have background color?")</f>
        <v/>
      </c>
      <c r="L1307" t="inlineStr">
        <is>
          <t>2025-07-11 13:21:40.244 IST</t>
        </is>
      </c>
      <c r="M1307" t="inlineStr">
        <is>
          <t>Rupam Vallecha</t>
        </is>
      </c>
      <c r="N1307" t="inlineStr">
        <is>
          <t>No</t>
        </is>
      </c>
      <c r="O1307" t="inlineStr">
        <is>
          <t>Yes</t>
        </is>
      </c>
      <c r="P1307" t="inlineStr">
        <is>
          <t>Soundariya B</t>
        </is>
      </c>
      <c r="Q1307" t="inlineStr">
        <is>
          <t>Neutral</t>
        </is>
      </c>
    </row>
    <row r="1308">
      <c r="A1308" t="inlineStr">
        <is>
          <t>rupam.v</t>
        </is>
      </c>
      <c r="B1308" t="inlineStr">
        <is>
          <t>Rupam Vallecha</t>
        </is>
      </c>
      <c r="C1308" t="inlineStr">
        <is>
          <t>rupam.v@osmosys.co</t>
        </is>
      </c>
      <c r="D1308" t="inlineStr">
        <is>
          <t>incident-reporter</t>
        </is>
      </c>
      <c r="E1308">
        <f>HYPERLINK("http://gitlab.osmosys.co/incident-reporter/incident-reporter-angular-portal", "OQSHA Portal")</f>
        <v/>
      </c>
      <c r="F1308">
        <f>HYPERLINK("http://gitlab.osmosys.co/incident-reporter/incident-reporter-angular-portal/-/merge_requests/3369", "fix: update placeholder text and button disable condition")</f>
        <v/>
      </c>
      <c r="G1308" t="inlineStr">
        <is>
          <t>fix/make-comments-mandatory</t>
        </is>
      </c>
      <c r="H1308" t="inlineStr">
        <is>
          <t>sprint-16</t>
        </is>
      </c>
      <c r="I1308" t="inlineStr">
        <is>
          <t>merged</t>
        </is>
      </c>
      <c r="J1308" t="inlineStr"/>
      <c r="K1308" t="inlineStr"/>
      <c r="L1308" t="inlineStr"/>
      <c r="M1308" t="inlineStr"/>
      <c r="N1308" t="inlineStr"/>
      <c r="O1308" t="inlineStr"/>
      <c r="P1308" t="inlineStr"/>
      <c r="Q1308" t="inlineStr"/>
    </row>
    <row r="1309">
      <c r="A1309" t="inlineStr">
        <is>
          <t>rupam.v</t>
        </is>
      </c>
      <c r="B1309" t="inlineStr">
        <is>
          <t>Rupam Vallecha</t>
        </is>
      </c>
      <c r="C1309" t="inlineStr">
        <is>
          <t>rupam.v@osmosys.co</t>
        </is>
      </c>
      <c r="D1309" t="inlineStr">
        <is>
          <t>incident-reporter</t>
        </is>
      </c>
      <c r="E1309">
        <f>HYPERLINK("http://gitlab.osmosys.co/incident-reporter/incident-reporter-app", "OQSHA Mobile App")</f>
        <v/>
      </c>
      <c r="F1309">
        <f>HYPERLINK("http://gitlab.osmosys.co/incident-reporter/incident-reporter-app/-/merge_requests/1862", "feat: add associated job types for night work in job detail form")</f>
        <v/>
      </c>
      <c r="G1309" t="inlineStr">
        <is>
          <t>feat/add-associated-job-types</t>
        </is>
      </c>
      <c r="H1309" t="inlineStr">
        <is>
          <t>sprint-19</t>
        </is>
      </c>
      <c r="I1309" t="inlineStr">
        <is>
          <t>merged</t>
        </is>
      </c>
      <c r="J1309" t="inlineStr"/>
      <c r="K1309" t="inlineStr"/>
      <c r="L1309" t="inlineStr"/>
      <c r="M1309" t="inlineStr"/>
      <c r="N1309" t="inlineStr"/>
      <c r="O1309" t="inlineStr"/>
      <c r="P1309" t="inlineStr"/>
      <c r="Q1309" t="inlineStr"/>
    </row>
    <row r="1310">
      <c r="A1310" t="inlineStr">
        <is>
          <t>rupam.v</t>
        </is>
      </c>
      <c r="B1310" t="inlineStr">
        <is>
          <t>Rupam Vallecha</t>
        </is>
      </c>
      <c r="C1310" t="inlineStr">
        <is>
          <t>rupam.v@osmosys.co</t>
        </is>
      </c>
      <c r="D1310" t="inlineStr">
        <is>
          <t>incident-reporter</t>
        </is>
      </c>
      <c r="E1310">
        <f>HYPERLINK("http://gitlab.osmosys.co/incident-reporter/incident-reporter-app", "OQSHA Mobile App")</f>
        <v/>
      </c>
      <c r="F1310">
        <f>HYPERLINK("http://gitlab.osmosys.co/incident-reporter/incident-reporter-app/-/merge_requests/1859", "fix: update date display for work permit")</f>
        <v/>
      </c>
      <c r="G1310" t="inlineStr">
        <is>
          <t>fix/update-ptw-key</t>
        </is>
      </c>
      <c r="H1310" t="inlineStr">
        <is>
          <t>sprint-19</t>
        </is>
      </c>
      <c r="I1310" t="inlineStr">
        <is>
          <t>merged</t>
        </is>
      </c>
      <c r="J1310" t="inlineStr"/>
      <c r="K1310" t="inlineStr"/>
      <c r="L1310" t="inlineStr"/>
      <c r="M1310" t="inlineStr"/>
      <c r="N1310" t="inlineStr"/>
      <c r="O1310" t="inlineStr"/>
      <c r="P1310" t="inlineStr"/>
      <c r="Q1310" t="inlineStr"/>
    </row>
    <row r="1311">
      <c r="A1311" t="inlineStr">
        <is>
          <t>rupam.v</t>
        </is>
      </c>
      <c r="B1311" t="inlineStr">
        <is>
          <t>Rupam Vallecha</t>
        </is>
      </c>
      <c r="C1311" t="inlineStr">
        <is>
          <t>rupam.v@osmosys.co</t>
        </is>
      </c>
      <c r="D1311" t="inlineStr">
        <is>
          <t>incident-reporter</t>
        </is>
      </c>
      <c r="E1311">
        <f>HYPERLINK("http://gitlab.osmosys.co/incident-reporter/incident-reporter-app", "OQSHA Mobile App")</f>
        <v/>
      </c>
      <c r="F1311">
        <f>HYPERLINK("http://gitlab.osmosys.co/incident-reporter/incident-reporter-app/-/merge_requests/1842", "fix: populate user site")</f>
        <v/>
      </c>
      <c r="G1311" t="inlineStr">
        <is>
          <t>feat/pre-fill-ticket</t>
        </is>
      </c>
      <c r="H1311" t="inlineStr">
        <is>
          <t>sprint-18</t>
        </is>
      </c>
      <c r="I1311" t="inlineStr">
        <is>
          <t>merged</t>
        </is>
      </c>
      <c r="J1311" t="inlineStr">
        <is>
          <t>5591ecdce0ec84d37aef2c8464a145af26ba7cdb</t>
        </is>
      </c>
      <c r="K1311">
        <f>HYPERLINK("http://gitlab.osmosys.co/incident-reporter/incident-reporter-app/-/merge_requests/1842#note_243603", "```
let allSites = [];
let userSites = [];
const userSitesResp = await this.organisationService
  .getSitesByUserId(organisationId)
  .toPromise();
if (userSitesResp.Status === constants.httpStatusConstants.SUCCESS) {
  userSites = userSitesResp.Data.IncidentSites || [];
  this.userSitesList = userSites;
}
if (!this.enableAllSites) {
  allSites = userSites;
} else {
  const allSitesResp = await this.organisationService
    .getIncidentLocationsDropdown(organisationId, 12)
    .toPromise();
  if (allSitesResp.Status === constants.httpStatusConstants.SUCCESS) {
    allSites = allSitesResp.Data.Sites || [];
    this.allSitesList = allSites;
  }
}
```
Try this and improve it
- Removed duplicate getSitesByUserId call
- Split service responses cleanly for readability
- Assigned userSitesList once in a consistent spot
- Conditional logic is simpler: set allSites only if needed")</f>
        <v/>
      </c>
      <c r="L1311" t="inlineStr">
        <is>
          <t>2025-07-29 12:30:16.574 IST</t>
        </is>
      </c>
      <c r="M1311" t="inlineStr">
        <is>
          <t>Soundariya B</t>
        </is>
      </c>
      <c r="N1311" t="inlineStr">
        <is>
          <t>Yes</t>
        </is>
      </c>
      <c r="O1311" t="inlineStr">
        <is>
          <t>Yes</t>
        </is>
      </c>
      <c r="P1311" t="inlineStr">
        <is>
          <t>Soundariya B</t>
        </is>
      </c>
      <c r="Q1311" t="inlineStr">
        <is>
          <t>Bad</t>
        </is>
      </c>
    </row>
    <row r="1312">
      <c r="A1312" t="inlineStr">
        <is>
          <t>rupam.v</t>
        </is>
      </c>
      <c r="B1312" t="inlineStr">
        <is>
          <t>Rupam Vallecha</t>
        </is>
      </c>
      <c r="C1312" t="inlineStr">
        <is>
          <t>rupam.v@osmosys.co</t>
        </is>
      </c>
      <c r="D1312" t="inlineStr">
        <is>
          <t>incident-reporter</t>
        </is>
      </c>
      <c r="E1312">
        <f>HYPERLINK("http://gitlab.osmosys.co/incident-reporter/incident-reporter-app", "OQSHA Mobile App")</f>
        <v/>
      </c>
      <c r="F1312">
        <f>HYPERLINK("http://gitlab.osmosys.co/incident-reporter/incident-reporter-app/-/merge_requests/1842", "fix: populate user site")</f>
        <v/>
      </c>
      <c r="G1312" t="inlineStr">
        <is>
          <t>feat/pre-fill-ticket</t>
        </is>
      </c>
      <c r="H1312" t="inlineStr">
        <is>
          <t>sprint-18</t>
        </is>
      </c>
      <c r="I1312" t="inlineStr">
        <is>
          <t>merged</t>
        </is>
      </c>
      <c r="J1312" t="inlineStr">
        <is>
          <t>59fce6a1023ce684d581c64945e2b4cb2d045c25</t>
        </is>
      </c>
      <c r="K1312">
        <f>HYPERLINK("http://gitlab.osmosys.co/incident-reporter/incident-reporter-app/-/merge_requests/1842#note_243604", "Take magic value from constant with meaning full key name")</f>
        <v/>
      </c>
      <c r="L1312" t="inlineStr">
        <is>
          <t>2025-07-29 12:30:16.646 IST</t>
        </is>
      </c>
      <c r="M1312" t="inlineStr">
        <is>
          <t>Soundariya B</t>
        </is>
      </c>
      <c r="N1312" t="inlineStr">
        <is>
          <t>Yes</t>
        </is>
      </c>
      <c r="O1312" t="inlineStr">
        <is>
          <t>Yes</t>
        </is>
      </c>
      <c r="P1312" t="inlineStr">
        <is>
          <t>Soundariya B</t>
        </is>
      </c>
      <c r="Q1312" t="inlineStr">
        <is>
          <t>Bad</t>
        </is>
      </c>
    </row>
    <row r="1313">
      <c r="A1313" t="inlineStr">
        <is>
          <t>rupam.v</t>
        </is>
      </c>
      <c r="B1313" t="inlineStr">
        <is>
          <t>Rupam Vallecha</t>
        </is>
      </c>
      <c r="C1313" t="inlineStr">
        <is>
          <t>rupam.v@osmosys.co</t>
        </is>
      </c>
      <c r="D1313" t="inlineStr">
        <is>
          <t>incident-reporter</t>
        </is>
      </c>
      <c r="E1313">
        <f>HYPERLINK("http://gitlab.osmosys.co/incident-reporter/incident-reporter-app", "OQSHA Mobile App")</f>
        <v/>
      </c>
      <c r="F1313">
        <f>HYPERLINK("http://gitlab.osmosys.co/incident-reporter/incident-reporter-app/-/merge_requests/1842", "fix: populate user site")</f>
        <v/>
      </c>
      <c r="G1313" t="inlineStr">
        <is>
          <t>feat/pre-fill-ticket</t>
        </is>
      </c>
      <c r="H1313" t="inlineStr">
        <is>
          <t>sprint-18</t>
        </is>
      </c>
      <c r="I1313" t="inlineStr">
        <is>
          <t>merged</t>
        </is>
      </c>
      <c r="J1313" t="inlineStr">
        <is>
          <t>59fce6a1023ce684d581c64945e2b4cb2d045c25</t>
        </is>
      </c>
      <c r="K1313">
        <f>HYPERLINK("http://gitlab.osmosys.co/incident-reporter/incident-reporter-app/-/merge_requests/1842#note_243737", "done")</f>
        <v/>
      </c>
      <c r="L1313" t="inlineStr">
        <is>
          <t>2025-07-29 14:47:41.679 IST</t>
        </is>
      </c>
      <c r="M1313" t="inlineStr">
        <is>
          <t>Rupam Vallecha</t>
        </is>
      </c>
      <c r="N1313" t="inlineStr">
        <is>
          <t>No</t>
        </is>
      </c>
      <c r="O1313" t="inlineStr">
        <is>
          <t>Yes</t>
        </is>
      </c>
      <c r="P1313" t="inlineStr">
        <is>
          <t>Soundariya B</t>
        </is>
      </c>
      <c r="Q1313" t="inlineStr">
        <is>
          <t>Bad</t>
        </is>
      </c>
    </row>
    <row r="1314">
      <c r="A1314" t="inlineStr">
        <is>
          <t>rupam.v</t>
        </is>
      </c>
      <c r="B1314" t="inlineStr">
        <is>
          <t>Rupam Vallecha</t>
        </is>
      </c>
      <c r="C1314" t="inlineStr">
        <is>
          <t>rupam.v@osmosys.co</t>
        </is>
      </c>
      <c r="D1314" t="inlineStr">
        <is>
          <t>incident-reporter</t>
        </is>
      </c>
      <c r="E1314">
        <f>HYPERLINK("http://gitlab.osmosys.co/incident-reporter/incident-reporter-app", "OQSHA Mobile App")</f>
        <v/>
      </c>
      <c r="F1314">
        <f>HYPERLINK("http://gitlab.osmosys.co/incident-reporter/incident-reporter-app/-/merge_requests/1842", "fix: populate user site")</f>
        <v/>
      </c>
      <c r="G1314" t="inlineStr">
        <is>
          <t>feat/pre-fill-ticket</t>
        </is>
      </c>
      <c r="H1314" t="inlineStr">
        <is>
          <t>sprint-18</t>
        </is>
      </c>
      <c r="I1314" t="inlineStr">
        <is>
          <t>merged</t>
        </is>
      </c>
      <c r="J1314" t="inlineStr">
        <is>
          <t>b5619c23473320f780a673c11a2eabfd07cffcd1</t>
        </is>
      </c>
      <c r="K1314">
        <f>HYPERLINK("http://gitlab.osmosys.co/incident-reporter/incident-reporter-app/-/merge_requests/1842#note_243607", "Add the cases - where enableAllSite is false and true")</f>
        <v/>
      </c>
      <c r="L1314" t="inlineStr">
        <is>
          <t>2025-07-29 12:30:48.569 IST</t>
        </is>
      </c>
      <c r="M1314" t="inlineStr">
        <is>
          <t>Soundariya B</t>
        </is>
      </c>
      <c r="N1314" t="inlineStr">
        <is>
          <t>Yes</t>
        </is>
      </c>
      <c r="O1314" t="inlineStr">
        <is>
          <t>Yes</t>
        </is>
      </c>
      <c r="P1314" t="inlineStr">
        <is>
          <t>Soundariya B</t>
        </is>
      </c>
      <c r="Q1314" t="inlineStr">
        <is>
          <t>Bad</t>
        </is>
      </c>
    </row>
    <row r="1315">
      <c r="A1315" t="inlineStr">
        <is>
          <t>rupam.v</t>
        </is>
      </c>
      <c r="B1315" t="inlineStr">
        <is>
          <t>Rupam Vallecha</t>
        </is>
      </c>
      <c r="C1315" t="inlineStr">
        <is>
          <t>rupam.v@osmosys.co</t>
        </is>
      </c>
      <c r="D1315" t="inlineStr">
        <is>
          <t>incident-reporter</t>
        </is>
      </c>
      <c r="E1315">
        <f>HYPERLINK("http://gitlab.osmosys.co/incident-reporter/incident-reporter-app", "OQSHA Mobile App")</f>
        <v/>
      </c>
      <c r="F1315">
        <f>HYPERLINK("http://gitlab.osmosys.co/incident-reporter/incident-reporter-app/-/merge_requests/1834", "feat: pre-populate tickets fields")</f>
        <v/>
      </c>
      <c r="G1315" t="inlineStr">
        <is>
          <t>feat/pre-fill-ticket</t>
        </is>
      </c>
      <c r="H1315" t="inlineStr">
        <is>
          <t>sprint-18</t>
        </is>
      </c>
      <c r="I1315" t="inlineStr">
        <is>
          <t>merged</t>
        </is>
      </c>
      <c r="J1315" t="inlineStr"/>
      <c r="K1315" t="inlineStr"/>
      <c r="L1315" t="inlineStr"/>
      <c r="M1315" t="inlineStr"/>
      <c r="N1315" t="inlineStr"/>
      <c r="O1315" t="inlineStr"/>
      <c r="P1315" t="inlineStr"/>
      <c r="Q1315" t="inlineStr"/>
    </row>
    <row r="1316">
      <c r="A1316" t="inlineStr">
        <is>
          <t>rupam.v</t>
        </is>
      </c>
      <c r="B1316" t="inlineStr">
        <is>
          <t>Rupam Vallecha</t>
        </is>
      </c>
      <c r="C1316" t="inlineStr">
        <is>
          <t>rupam.v@osmosys.co</t>
        </is>
      </c>
      <c r="D1316" t="inlineStr">
        <is>
          <t>incident-reporter</t>
        </is>
      </c>
      <c r="E1316">
        <f>HYPERLINK("http://gitlab.osmosys.co/incident-reporter/incident-reporter-app", "OQSHA Mobile App")</f>
        <v/>
      </c>
      <c r="F1316">
        <f>HYPERLINK("http://gitlab.osmosys.co/incident-reporter/incident-reporter-app/-/merge_requests/1824", "feat: integrate new ui")</f>
        <v/>
      </c>
      <c r="G1316" t="inlineStr">
        <is>
          <t>feat/integrate-new-ui</t>
        </is>
      </c>
      <c r="H1316" t="inlineStr">
        <is>
          <t>sprint-19</t>
        </is>
      </c>
      <c r="I1316" t="inlineStr">
        <is>
          <t>opened</t>
        </is>
      </c>
      <c r="J1316" t="inlineStr">
        <is>
          <t>18bc1db4305cfe003f8a910497d6d7c615162c0d</t>
        </is>
      </c>
      <c r="K1316">
        <f>HYPERLINK("http://gitlab.osmosys.co/incident-reporter/incident-reporter-app/-/merge_requests/1824#note_244733", "Avoid hardcoding text; retrieve it from a constant file.")</f>
        <v/>
      </c>
      <c r="L1316" t="inlineStr">
        <is>
          <t>2025-07-31 13:25:28.721 IST</t>
        </is>
      </c>
      <c r="M1316" t="inlineStr">
        <is>
          <t>Anand Prakash</t>
        </is>
      </c>
      <c r="N1316" t="inlineStr">
        <is>
          <t>Yes</t>
        </is>
      </c>
      <c r="O1316" t="inlineStr">
        <is>
          <t>No</t>
        </is>
      </c>
      <c r="P1316" t="inlineStr"/>
      <c r="Q1316" t="inlineStr">
        <is>
          <t>Bad</t>
        </is>
      </c>
    </row>
    <row r="1317">
      <c r="A1317" t="inlineStr">
        <is>
          <t>rupam.v</t>
        </is>
      </c>
      <c r="B1317" t="inlineStr">
        <is>
          <t>Rupam Vallecha</t>
        </is>
      </c>
      <c r="C1317" t="inlineStr">
        <is>
          <t>rupam.v@osmosys.co</t>
        </is>
      </c>
      <c r="D1317" t="inlineStr">
        <is>
          <t>incident-reporter</t>
        </is>
      </c>
      <c r="E1317">
        <f>HYPERLINK("http://gitlab.osmosys.co/incident-reporter/incident-reporter-app", "OQSHA Mobile App")</f>
        <v/>
      </c>
      <c r="F1317">
        <f>HYPERLINK("http://gitlab.osmosys.co/incident-reporter/incident-reporter-app/-/merge_requests/1824", "feat: integrate new ui")</f>
        <v/>
      </c>
      <c r="G1317" t="inlineStr">
        <is>
          <t>feat/integrate-new-ui</t>
        </is>
      </c>
      <c r="H1317" t="inlineStr">
        <is>
          <t>sprint-19</t>
        </is>
      </c>
      <c r="I1317" t="inlineStr">
        <is>
          <t>opened</t>
        </is>
      </c>
      <c r="J1317" t="inlineStr">
        <is>
          <t>18bc1db4305cfe003f8a910497d6d7c615162c0d</t>
        </is>
      </c>
      <c r="K1317">
        <f>HYPERLINK("http://gitlab.osmosys.co/incident-reporter/incident-reporter-app/-/merge_requests/1824#note_245204", "done")</f>
        <v/>
      </c>
      <c r="L1317" t="inlineStr">
        <is>
          <t>2025-08-01 01:12:26.973 IST</t>
        </is>
      </c>
      <c r="M1317" t="inlineStr">
        <is>
          <t>Rupam Vallecha</t>
        </is>
      </c>
      <c r="N1317" t="inlineStr">
        <is>
          <t>No</t>
        </is>
      </c>
      <c r="O1317" t="inlineStr">
        <is>
          <t>No</t>
        </is>
      </c>
      <c r="P1317" t="inlineStr"/>
      <c r="Q1317" t="inlineStr">
        <is>
          <t>Bad</t>
        </is>
      </c>
    </row>
    <row r="1318">
      <c r="A1318" t="inlineStr">
        <is>
          <t>rupam.v</t>
        </is>
      </c>
      <c r="B1318" t="inlineStr">
        <is>
          <t>Rupam Vallecha</t>
        </is>
      </c>
      <c r="C1318" t="inlineStr">
        <is>
          <t>rupam.v@osmosys.co</t>
        </is>
      </c>
      <c r="D1318" t="inlineStr">
        <is>
          <t>incident-reporter</t>
        </is>
      </c>
      <c r="E1318">
        <f>HYPERLINK("http://gitlab.osmosys.co/incident-reporter/incident-reporter-app", "OQSHA Mobile App")</f>
        <v/>
      </c>
      <c r="F1318">
        <f>HYPERLINK("http://gitlab.osmosys.co/incident-reporter/incident-reporter-app/-/merge_requests/1824", "feat: integrate new ui")</f>
        <v/>
      </c>
      <c r="G1318" t="inlineStr">
        <is>
          <t>feat/integrate-new-ui</t>
        </is>
      </c>
      <c r="H1318" t="inlineStr">
        <is>
          <t>sprint-19</t>
        </is>
      </c>
      <c r="I1318" t="inlineStr">
        <is>
          <t>opened</t>
        </is>
      </c>
      <c r="J1318" t="inlineStr">
        <is>
          <t>6593dc570961fb6dd4c17ecfc942be5f7b1e58e2</t>
        </is>
      </c>
      <c r="K1318">
        <f>HYPERLINK("http://gitlab.osmosys.co/incident-reporter/incident-reporter-app/-/merge_requests/1824#note_244734", "Avoid hardcoding text; retrieve it from a constant file.")</f>
        <v/>
      </c>
      <c r="L1318" t="inlineStr">
        <is>
          <t>2025-07-31 13:25:28.797 IST</t>
        </is>
      </c>
      <c r="M1318" t="inlineStr">
        <is>
          <t>Anand Prakash</t>
        </is>
      </c>
      <c r="N1318" t="inlineStr">
        <is>
          <t>Yes</t>
        </is>
      </c>
      <c r="O1318" t="inlineStr">
        <is>
          <t>No</t>
        </is>
      </c>
      <c r="P1318" t="inlineStr"/>
      <c r="Q1318" t="inlineStr">
        <is>
          <t>Bad</t>
        </is>
      </c>
    </row>
    <row r="1319">
      <c r="A1319" t="inlineStr">
        <is>
          <t>rupam.v</t>
        </is>
      </c>
      <c r="B1319" t="inlineStr">
        <is>
          <t>Rupam Vallecha</t>
        </is>
      </c>
      <c r="C1319" t="inlineStr">
        <is>
          <t>rupam.v@osmosys.co</t>
        </is>
      </c>
      <c r="D1319" t="inlineStr">
        <is>
          <t>incident-reporter</t>
        </is>
      </c>
      <c r="E1319">
        <f>HYPERLINK("http://gitlab.osmosys.co/incident-reporter/incident-reporter-app", "OQSHA Mobile App")</f>
        <v/>
      </c>
      <c r="F1319">
        <f>HYPERLINK("http://gitlab.osmosys.co/incident-reporter/incident-reporter-app/-/merge_requests/1824", "feat: integrate new ui")</f>
        <v/>
      </c>
      <c r="G1319" t="inlineStr">
        <is>
          <t>feat/integrate-new-ui</t>
        </is>
      </c>
      <c r="H1319" t="inlineStr">
        <is>
          <t>sprint-19</t>
        </is>
      </c>
      <c r="I1319" t="inlineStr">
        <is>
          <t>opened</t>
        </is>
      </c>
      <c r="J1319" t="inlineStr">
        <is>
          <t>6593dc570961fb6dd4c17ecfc942be5f7b1e58e2</t>
        </is>
      </c>
      <c r="K1319">
        <f>HYPERLINK("http://gitlab.osmosys.co/incident-reporter/incident-reporter-app/-/merge_requests/1824#note_245205", "done")</f>
        <v/>
      </c>
      <c r="L1319" t="inlineStr">
        <is>
          <t>2025-08-01 01:12:32.928 IST</t>
        </is>
      </c>
      <c r="M1319" t="inlineStr">
        <is>
          <t>Rupam Vallecha</t>
        </is>
      </c>
      <c r="N1319" t="inlineStr">
        <is>
          <t>No</t>
        </is>
      </c>
      <c r="O1319" t="inlineStr">
        <is>
          <t>No</t>
        </is>
      </c>
      <c r="P1319" t="inlineStr"/>
      <c r="Q1319" t="inlineStr">
        <is>
          <t>Bad</t>
        </is>
      </c>
    </row>
    <row r="1320">
      <c r="A1320" t="inlineStr">
        <is>
          <t>rupam.v</t>
        </is>
      </c>
      <c r="B1320" t="inlineStr">
        <is>
          <t>Rupam Vallecha</t>
        </is>
      </c>
      <c r="C1320" t="inlineStr">
        <is>
          <t>rupam.v@osmosys.co</t>
        </is>
      </c>
      <c r="D1320" t="inlineStr">
        <is>
          <t>incident-reporter</t>
        </is>
      </c>
      <c r="E1320">
        <f>HYPERLINK("http://gitlab.osmosys.co/incident-reporter/incident-reporter-app", "OQSHA Mobile App")</f>
        <v/>
      </c>
      <c r="F1320">
        <f>HYPERLINK("http://gitlab.osmosys.co/incident-reporter/incident-reporter-app/-/merge_requests/1824", "feat: integrate new ui")</f>
        <v/>
      </c>
      <c r="G1320" t="inlineStr">
        <is>
          <t>feat/integrate-new-ui</t>
        </is>
      </c>
      <c r="H1320" t="inlineStr">
        <is>
          <t>sprint-19</t>
        </is>
      </c>
      <c r="I1320" t="inlineStr">
        <is>
          <t>opened</t>
        </is>
      </c>
      <c r="J1320" t="inlineStr">
        <is>
          <t>ed4c9822a4fd3f9f38b2e1f74b2cd0dbc2d6b6d9</t>
        </is>
      </c>
      <c r="K1320">
        <f>HYPERLINK("http://gitlab.osmosys.co/incident-reporter/incident-reporter-app/-/merge_requests/1824#note_244735", "- There is no proper description in PR to explain the task.
- This is bad practice to have 78 changes in one PR, please strictly avoid from now onwards 
- Kindly attach the screen shot and screen recording of entire change")</f>
        <v/>
      </c>
      <c r="L1320" t="inlineStr">
        <is>
          <t>2025-07-31 13:25:28.851 IST</t>
        </is>
      </c>
      <c r="M1320" t="inlineStr">
        <is>
          <t>Anand Prakash</t>
        </is>
      </c>
      <c r="N1320" t="inlineStr">
        <is>
          <t>Yes</t>
        </is>
      </c>
      <c r="O1320" t="inlineStr">
        <is>
          <t>No</t>
        </is>
      </c>
      <c r="P1320" t="inlineStr"/>
      <c r="Q1320" t="inlineStr">
        <is>
          <t>Bad</t>
        </is>
      </c>
    </row>
    <row r="1321">
      <c r="A1321" t="inlineStr">
        <is>
          <t>rupam.v</t>
        </is>
      </c>
      <c r="B1321" t="inlineStr">
        <is>
          <t>Rupam Vallecha</t>
        </is>
      </c>
      <c r="C1321" t="inlineStr">
        <is>
          <t>rupam.v@osmosys.co</t>
        </is>
      </c>
      <c r="D1321" t="inlineStr">
        <is>
          <t>incident-reporter</t>
        </is>
      </c>
      <c r="E1321">
        <f>HYPERLINK("http://gitlab.osmosys.co/incident-reporter/incident-reporter-app", "OQSHA Mobile App")</f>
        <v/>
      </c>
      <c r="F1321">
        <f>HYPERLINK("http://gitlab.osmosys.co/incident-reporter/incident-reporter-app/-/merge_requests/1824", "feat: integrate new ui")</f>
        <v/>
      </c>
      <c r="G1321" t="inlineStr">
        <is>
          <t>feat/integrate-new-ui</t>
        </is>
      </c>
      <c r="H1321" t="inlineStr">
        <is>
          <t>sprint-19</t>
        </is>
      </c>
      <c r="I1321" t="inlineStr">
        <is>
          <t>opened</t>
        </is>
      </c>
      <c r="J1321" t="inlineStr">
        <is>
          <t>ed4c9822a4fd3f9f38b2e1f74b2cd0dbc2d6b6d9</t>
        </is>
      </c>
      <c r="K1321">
        <f>HYPERLINK("http://gitlab.osmosys.co/incident-reporter/incident-reporter-app/-/merge_requests/1824#note_245214", "Attached screen recording.
This came in as a single set since it was an existing feature from an older branch.")</f>
        <v/>
      </c>
      <c r="L1321" t="inlineStr">
        <is>
          <t>2025-08-01 01:27:25.686 IST</t>
        </is>
      </c>
      <c r="M1321" t="inlineStr">
        <is>
          <t>Rupam Vallecha</t>
        </is>
      </c>
      <c r="N1321" t="inlineStr">
        <is>
          <t>No</t>
        </is>
      </c>
      <c r="O1321" t="inlineStr">
        <is>
          <t>No</t>
        </is>
      </c>
      <c r="P1321" t="inlineStr"/>
      <c r="Q1321" t="inlineStr">
        <is>
          <t>Bad</t>
        </is>
      </c>
    </row>
    <row r="1322">
      <c r="A1322" t="inlineStr">
        <is>
          <t>rupam.v</t>
        </is>
      </c>
      <c r="B1322" t="inlineStr">
        <is>
          <t>Rupam Vallecha</t>
        </is>
      </c>
      <c r="C1322" t="inlineStr">
        <is>
          <t>rupam.v@osmosys.co</t>
        </is>
      </c>
      <c r="D1322" t="inlineStr">
        <is>
          <t>incident-reporter</t>
        </is>
      </c>
      <c r="E1322">
        <f>HYPERLINK("http://gitlab.osmosys.co/incident-reporter/incident-reporter-app", "OQSHA Mobile App")</f>
        <v/>
      </c>
      <c r="F1322">
        <f>HYPERLINK("http://gitlab.osmosys.co/incident-reporter/incident-reporter-app/-/merge_requests/1824", "feat: integrate new ui")</f>
        <v/>
      </c>
      <c r="G1322" t="inlineStr">
        <is>
          <t>feat/integrate-new-ui</t>
        </is>
      </c>
      <c r="H1322" t="inlineStr">
        <is>
          <t>sprint-19</t>
        </is>
      </c>
      <c r="I1322" t="inlineStr">
        <is>
          <t>opened</t>
        </is>
      </c>
      <c r="J1322" t="inlineStr">
        <is>
          <t>4c1caee74a723dcb489032d36d303366a99fb3a3</t>
        </is>
      </c>
      <c r="K1322">
        <f>HYPERLINK("http://gitlab.osmosys.co/incident-reporter/incident-reporter-app/-/merge_requests/1824#note_244736", "The expression *ngIf="ActiveCourses?.length &gt; 0" is repeated multiple times, violating DRY. Use the as keyword (*ngIf="ActiveCourses?.length &gt; 0 as hasCourses") or a getter in the component to reduce duplication and improve performance.")</f>
        <v/>
      </c>
      <c r="L1322" t="inlineStr">
        <is>
          <t>2025-07-31 13:25:28.906 IST</t>
        </is>
      </c>
      <c r="M1322" t="inlineStr">
        <is>
          <t>Anand Prakash</t>
        </is>
      </c>
      <c r="N1322" t="inlineStr">
        <is>
          <t>Yes</t>
        </is>
      </c>
      <c r="O1322" t="inlineStr">
        <is>
          <t>No</t>
        </is>
      </c>
      <c r="P1322" t="inlineStr"/>
      <c r="Q1322" t="inlineStr">
        <is>
          <t>Bad</t>
        </is>
      </c>
    </row>
    <row r="1323">
      <c r="A1323" t="inlineStr">
        <is>
          <t>rupam.v</t>
        </is>
      </c>
      <c r="B1323" t="inlineStr">
        <is>
          <t>Rupam Vallecha</t>
        </is>
      </c>
      <c r="C1323" t="inlineStr">
        <is>
          <t>rupam.v@osmosys.co</t>
        </is>
      </c>
      <c r="D1323" t="inlineStr">
        <is>
          <t>incident-reporter</t>
        </is>
      </c>
      <c r="E1323">
        <f>HYPERLINK("http://gitlab.osmosys.co/incident-reporter/incident-reporter-app", "OQSHA Mobile App")</f>
        <v/>
      </c>
      <c r="F1323">
        <f>HYPERLINK("http://gitlab.osmosys.co/incident-reporter/incident-reporter-app/-/merge_requests/1824", "feat: integrate new ui")</f>
        <v/>
      </c>
      <c r="G1323" t="inlineStr">
        <is>
          <t>feat/integrate-new-ui</t>
        </is>
      </c>
      <c r="H1323" t="inlineStr">
        <is>
          <t>sprint-19</t>
        </is>
      </c>
      <c r="I1323" t="inlineStr">
        <is>
          <t>opened</t>
        </is>
      </c>
      <c r="J1323" t="inlineStr">
        <is>
          <t>4c1caee74a723dcb489032d36d303366a99fb3a3</t>
        </is>
      </c>
      <c r="K1323">
        <f>HYPERLINK("http://gitlab.osmosys.co/incident-reporter/incident-reporter-app/-/merge_requests/1824#note_245215", "done")</f>
        <v/>
      </c>
      <c r="L1323" t="inlineStr">
        <is>
          <t>2025-08-01 01:27:31.862 IST</t>
        </is>
      </c>
      <c r="M1323" t="inlineStr">
        <is>
          <t>Rupam Vallecha</t>
        </is>
      </c>
      <c r="N1323" t="inlineStr">
        <is>
          <t>No</t>
        </is>
      </c>
      <c r="O1323" t="inlineStr">
        <is>
          <t>No</t>
        </is>
      </c>
      <c r="P1323" t="inlineStr"/>
      <c r="Q1323" t="inlineStr">
        <is>
          <t>Bad</t>
        </is>
      </c>
    </row>
    <row r="1324">
      <c r="A1324" t="inlineStr">
        <is>
          <t>rupam.v</t>
        </is>
      </c>
      <c r="B1324" t="inlineStr">
        <is>
          <t>Rupam Vallecha</t>
        </is>
      </c>
      <c r="C1324" t="inlineStr">
        <is>
          <t>rupam.v@osmosys.co</t>
        </is>
      </c>
      <c r="D1324" t="inlineStr">
        <is>
          <t>incident-reporter</t>
        </is>
      </c>
      <c r="E1324">
        <f>HYPERLINK("http://gitlab.osmosys.co/incident-reporter/incident-reporter-app", "OQSHA Mobile App")</f>
        <v/>
      </c>
      <c r="F1324">
        <f>HYPERLINK("http://gitlab.osmosys.co/incident-reporter/incident-reporter-app/-/merge_requests/1798", "fix: revert date format changes")</f>
        <v/>
      </c>
      <c r="G1324" t="inlineStr">
        <is>
          <t>fix/date-format</t>
        </is>
      </c>
      <c r="H1324" t="inlineStr">
        <is>
          <t>sprint-17</t>
        </is>
      </c>
      <c r="I1324" t="inlineStr">
        <is>
          <t>merged</t>
        </is>
      </c>
      <c r="J1324" t="inlineStr"/>
      <c r="K1324" t="inlineStr"/>
      <c r="L1324" t="inlineStr"/>
      <c r="M1324" t="inlineStr"/>
      <c r="N1324" t="inlineStr"/>
      <c r="O1324" t="inlineStr"/>
      <c r="P1324" t="inlineStr"/>
      <c r="Q1324" t="inlineStr"/>
    </row>
    <row r="1325">
      <c r="A1325" t="inlineStr">
        <is>
          <t>rupam.v</t>
        </is>
      </c>
      <c r="B1325" t="inlineStr">
        <is>
          <t>Rupam Vallecha</t>
        </is>
      </c>
      <c r="C1325" t="inlineStr">
        <is>
          <t>rupam.v@osmosys.co</t>
        </is>
      </c>
      <c r="D1325" t="inlineStr">
        <is>
          <t>incident-reporter</t>
        </is>
      </c>
      <c r="E1325">
        <f>HYPERLINK("http://gitlab.osmosys.co/incident-reporter/incident-reporter-app", "OQSHA Mobile App")</f>
        <v/>
      </c>
      <c r="F1325">
        <f>HYPERLINK("http://gitlab.osmosys.co/incident-reporter/incident-reporter-app/-/merge_requests/1797", "fix: update department visibility logic and date format")</f>
        <v/>
      </c>
      <c r="G1325" t="inlineStr">
        <is>
          <t>fix/date-format</t>
        </is>
      </c>
      <c r="H1325" t="inlineStr">
        <is>
          <t>sprint-17</t>
        </is>
      </c>
      <c r="I1325" t="inlineStr">
        <is>
          <t>merged</t>
        </is>
      </c>
      <c r="J1325" t="inlineStr"/>
      <c r="K1325" t="inlineStr"/>
      <c r="L1325" t="inlineStr"/>
      <c r="M1325" t="inlineStr"/>
      <c r="N1325" t="inlineStr"/>
      <c r="O1325" t="inlineStr"/>
      <c r="P1325" t="inlineStr"/>
      <c r="Q1325" t="inlineStr"/>
    </row>
    <row r="1326">
      <c r="A1326" t="inlineStr">
        <is>
          <t>rupam.v</t>
        </is>
      </c>
      <c r="B1326" t="inlineStr">
        <is>
          <t>Rupam Vallecha</t>
        </is>
      </c>
      <c r="C1326" t="inlineStr">
        <is>
          <t>rupam.v@osmosys.co</t>
        </is>
      </c>
      <c r="D1326" t="inlineStr">
        <is>
          <t>incident-reporter</t>
        </is>
      </c>
      <c r="E1326">
        <f>HYPERLINK("http://gitlab.osmosys.co/incident-reporter/incident-reporter-app", "OQSHA Mobile App")</f>
        <v/>
      </c>
      <c r="F1326">
        <f>HYPERLINK("http://gitlab.osmosys.co/incident-reporter/incident-reporter-app/-/merge_requests/1793", "fix: update department fetch logic")</f>
        <v/>
      </c>
      <c r="G1326" t="inlineStr">
        <is>
          <t>fix/change-department-api</t>
        </is>
      </c>
      <c r="H1326" t="inlineStr">
        <is>
          <t>sprint-17</t>
        </is>
      </c>
      <c r="I1326" t="inlineStr">
        <is>
          <t>merged</t>
        </is>
      </c>
      <c r="J1326" t="inlineStr">
        <is>
          <t>5d25f0715122ca523d23529fa1326563c412bb0a</t>
        </is>
      </c>
      <c r="K1326">
        <f>HYPERLINK("http://gitlab.osmosys.co/incident-reporter/incident-reporter-app/-/merge_requests/1793#note_238429", "This is working fine and it is the feature/requirement for get departments based on org id and site id with sorted based on location and in asc order that how we did in portal as well then why change the logic here - this change doesn't make sense.
And also instead of doing static and fixed the value of sorting column and sorting order that's not good practice what if in future we want order in desc and sorting column will be different for specific dropdown then again you will do manual changes from constant file?
**This thread applies same in all other places**")</f>
        <v/>
      </c>
      <c r="L1326" t="inlineStr">
        <is>
          <t>2025-07-17 15:58:33.195 IST</t>
        </is>
      </c>
      <c r="M1326" t="inlineStr">
        <is>
          <t>Soundariya B</t>
        </is>
      </c>
      <c r="N1326" t="inlineStr">
        <is>
          <t>Yes</t>
        </is>
      </c>
      <c r="O1326" t="inlineStr">
        <is>
          <t>Yes</t>
        </is>
      </c>
      <c r="P1326" t="inlineStr">
        <is>
          <t>Soundariya B</t>
        </is>
      </c>
      <c r="Q1326" t="inlineStr">
        <is>
          <t>Bad</t>
        </is>
      </c>
    </row>
    <row r="1327">
      <c r="A1327" t="inlineStr">
        <is>
          <t>rupam.v</t>
        </is>
      </c>
      <c r="B1327" t="inlineStr">
        <is>
          <t>Rupam Vallecha</t>
        </is>
      </c>
      <c r="C1327" t="inlineStr">
        <is>
          <t>rupam.v@osmosys.co</t>
        </is>
      </c>
      <c r="D1327" t="inlineStr">
        <is>
          <t>incident-reporter</t>
        </is>
      </c>
      <c r="E1327">
        <f>HYPERLINK("http://gitlab.osmosys.co/incident-reporter/incident-reporter-app", "OQSHA Mobile App")</f>
        <v/>
      </c>
      <c r="F1327">
        <f>HYPERLINK("http://gitlab.osmosys.co/incident-reporter/incident-reporter-app/-/merge_requests/1793", "fix: update department fetch logic")</f>
        <v/>
      </c>
      <c r="G1327" t="inlineStr">
        <is>
          <t>fix/change-department-api</t>
        </is>
      </c>
      <c r="H1327" t="inlineStr">
        <is>
          <t>sprint-17</t>
        </is>
      </c>
      <c r="I1327" t="inlineStr">
        <is>
          <t>merged</t>
        </is>
      </c>
      <c r="J1327" t="inlineStr">
        <is>
          <t>5d25f0715122ca523d23529fa1326563c412bb0a</t>
        </is>
      </c>
      <c r="K1327">
        <f>HYPERLINK("http://gitlab.osmosys.co/incident-reporter/incident-reporter-app/-/merge_requests/1793#note_238440", "The PR is literally about changing it from post to get API , that's the requirement. 
And we always sort alphabetically, why would we just change the order?")</f>
        <v/>
      </c>
      <c r="L1327" t="inlineStr">
        <is>
          <t>2025-07-17 16:07:47.553 IST</t>
        </is>
      </c>
      <c r="M1327" t="inlineStr">
        <is>
          <t>Rupam Vallecha</t>
        </is>
      </c>
      <c r="N1327" t="inlineStr">
        <is>
          <t>No</t>
        </is>
      </c>
      <c r="O1327" t="inlineStr">
        <is>
          <t>Yes</t>
        </is>
      </c>
      <c r="P1327" t="inlineStr">
        <is>
          <t>Soundariya B</t>
        </is>
      </c>
      <c r="Q1327" t="inlineStr">
        <is>
          <t>Bad</t>
        </is>
      </c>
    </row>
    <row r="1328">
      <c r="A1328" t="inlineStr">
        <is>
          <t>rupam.v</t>
        </is>
      </c>
      <c r="B1328" t="inlineStr">
        <is>
          <t>Rupam Vallecha</t>
        </is>
      </c>
      <c r="C1328" t="inlineStr">
        <is>
          <t>rupam.v@osmosys.co</t>
        </is>
      </c>
      <c r="D1328" t="inlineStr">
        <is>
          <t>incident-reporter</t>
        </is>
      </c>
      <c r="E1328">
        <f>HYPERLINK("http://gitlab.osmosys.co/incident-reporter/incident-reporter-app", "OQSHA Mobile App")</f>
        <v/>
      </c>
      <c r="F1328">
        <f>HYPERLINK("http://gitlab.osmosys.co/incident-reporter/incident-reporter-app/-/merge_requests/1793", "fix: update department fetch logic")</f>
        <v/>
      </c>
      <c r="G1328" t="inlineStr">
        <is>
          <t>fix/change-department-api</t>
        </is>
      </c>
      <c r="H1328" t="inlineStr">
        <is>
          <t>sprint-17</t>
        </is>
      </c>
      <c r="I1328" t="inlineStr">
        <is>
          <t>merged</t>
        </is>
      </c>
      <c r="J1328" t="inlineStr">
        <is>
          <t>5d25f0715122ca523d23529fa1326563c412bb0a</t>
        </is>
      </c>
      <c r="K1328">
        <f>HYPERLINK("http://gitlab.osmosys.co/incident-reporter/incident-reporter-app/-/merge_requests/1793#note_238490", "As got confirm with Raj that should be fix it later so for now its ok
![image.png](/uploads/ace6140e352ded6c862b98a7063902f0/image.png)")</f>
        <v/>
      </c>
      <c r="L1328" t="inlineStr">
        <is>
          <t>2025-07-17 16:44:28.019 IST</t>
        </is>
      </c>
      <c r="M1328" t="inlineStr">
        <is>
          <t>Soundariya B</t>
        </is>
      </c>
      <c r="N1328" t="inlineStr">
        <is>
          <t>Yes</t>
        </is>
      </c>
      <c r="O1328" t="inlineStr">
        <is>
          <t>Yes</t>
        </is>
      </c>
      <c r="P1328" t="inlineStr">
        <is>
          <t>Soundariya B</t>
        </is>
      </c>
      <c r="Q1328" t="inlineStr">
        <is>
          <t>Bad</t>
        </is>
      </c>
    </row>
    <row r="1329">
      <c r="A1329" t="inlineStr">
        <is>
          <t>rupam.v</t>
        </is>
      </c>
      <c r="B1329" t="inlineStr">
        <is>
          <t>Rupam Vallecha</t>
        </is>
      </c>
      <c r="C1329" t="inlineStr">
        <is>
          <t>rupam.v@osmosys.co</t>
        </is>
      </c>
      <c r="D1329" t="inlineStr">
        <is>
          <t>incident-reporter</t>
        </is>
      </c>
      <c r="E1329">
        <f>HYPERLINK("http://gitlab.osmosys.co/incident-reporter/incident-reporter-app", "OQSHA Mobile App")</f>
        <v/>
      </c>
      <c r="F1329">
        <f>HYPERLINK("http://gitlab.osmosys.co/incident-reporter/incident-reporter-app/-/merge_requests/1793", "fix: update department fetch logic")</f>
        <v/>
      </c>
      <c r="G1329" t="inlineStr">
        <is>
          <t>fix/change-department-api</t>
        </is>
      </c>
      <c r="H1329" t="inlineStr">
        <is>
          <t>sprint-17</t>
        </is>
      </c>
      <c r="I1329" t="inlineStr">
        <is>
          <t>merged</t>
        </is>
      </c>
      <c r="J1329" t="inlineStr">
        <is>
          <t>fdd05d2d2a2b857aa560b5f90b83d8b8f8dd92fa</t>
        </is>
      </c>
      <c r="K1329">
        <f>HYPERLINK("http://gitlab.osmosys.co/incident-reporter/incident-reporter-app/-/merge_requests/1793#note_238430", "This is not required in service its already there if need any changes regarding api route or param then please do changes with '**fetchDepartments' and use it**
**This thread applies same in all other places**")</f>
        <v/>
      </c>
      <c r="L1329" t="inlineStr">
        <is>
          <t>2025-07-17 15:58:33.358 IST</t>
        </is>
      </c>
      <c r="M1329" t="inlineStr">
        <is>
          <t>Soundariya B</t>
        </is>
      </c>
      <c r="N1329" t="inlineStr">
        <is>
          <t>Yes</t>
        </is>
      </c>
      <c r="O1329" t="inlineStr">
        <is>
          <t>Yes</t>
        </is>
      </c>
      <c r="P1329" t="inlineStr">
        <is>
          <t>Soundariya B</t>
        </is>
      </c>
      <c r="Q1329" t="inlineStr">
        <is>
          <t>Neutral</t>
        </is>
      </c>
    </row>
    <row r="1330">
      <c r="A1330" t="inlineStr">
        <is>
          <t>rupam.v</t>
        </is>
      </c>
      <c r="B1330" t="inlineStr">
        <is>
          <t>Rupam Vallecha</t>
        </is>
      </c>
      <c r="C1330" t="inlineStr">
        <is>
          <t>rupam.v@osmosys.co</t>
        </is>
      </c>
      <c r="D1330" t="inlineStr">
        <is>
          <t>incident-reporter</t>
        </is>
      </c>
      <c r="E1330">
        <f>HYPERLINK("http://gitlab.osmosys.co/incident-reporter/incident-reporter-app", "OQSHA Mobile App")</f>
        <v/>
      </c>
      <c r="F1330">
        <f>HYPERLINK("http://gitlab.osmosys.co/incident-reporter/incident-reporter-app/-/merge_requests/1793", "fix: update department fetch logic")</f>
        <v/>
      </c>
      <c r="G1330" t="inlineStr">
        <is>
          <t>fix/change-department-api</t>
        </is>
      </c>
      <c r="H1330" t="inlineStr">
        <is>
          <t>sprint-17</t>
        </is>
      </c>
      <c r="I1330" t="inlineStr">
        <is>
          <t>merged</t>
        </is>
      </c>
      <c r="J1330" t="inlineStr">
        <is>
          <t>fdd05d2d2a2b857aa560b5f90b83d8b8f8dd92fa</t>
        </is>
      </c>
      <c r="K1330">
        <f>HYPERLINK("http://gitlab.osmosys.co/incident-reporter/incident-reporter-app/-/merge_requests/1793#note_238441", "Both methods were there in service, i just used get one instead of post")</f>
        <v/>
      </c>
      <c r="L1330" t="inlineStr">
        <is>
          <t>2025-07-17 16:08:33.080 IST</t>
        </is>
      </c>
      <c r="M1330" t="inlineStr">
        <is>
          <t>Rupam Vallecha</t>
        </is>
      </c>
      <c r="N1330" t="inlineStr">
        <is>
          <t>No</t>
        </is>
      </c>
      <c r="O1330" t="inlineStr">
        <is>
          <t>Yes</t>
        </is>
      </c>
      <c r="P1330" t="inlineStr">
        <is>
          <t>Soundariya B</t>
        </is>
      </c>
      <c r="Q1330" t="inlineStr">
        <is>
          <t>Neutral</t>
        </is>
      </c>
    </row>
    <row r="1331">
      <c r="A1331" t="inlineStr">
        <is>
          <t>rupam.v</t>
        </is>
      </c>
      <c r="B1331" t="inlineStr">
        <is>
          <t>Rupam Vallecha</t>
        </is>
      </c>
      <c r="C1331" t="inlineStr">
        <is>
          <t>rupam.v@osmosys.co</t>
        </is>
      </c>
      <c r="D1331" t="inlineStr">
        <is>
          <t>incident-reporter</t>
        </is>
      </c>
      <c r="E1331">
        <f>HYPERLINK("http://gitlab.osmosys.co/incident-reporter/incident-reporter-app", "OQSHA Mobile App")</f>
        <v/>
      </c>
      <c r="F1331">
        <f>HYPERLINK("http://gitlab.osmosys.co/incident-reporter/incident-reporter-app/-/merge_requests/1793", "fix: update department fetch logic")</f>
        <v/>
      </c>
      <c r="G1331" t="inlineStr">
        <is>
          <t>fix/change-department-api</t>
        </is>
      </c>
      <c r="H1331" t="inlineStr">
        <is>
          <t>sprint-17</t>
        </is>
      </c>
      <c r="I1331" t="inlineStr">
        <is>
          <t>merged</t>
        </is>
      </c>
      <c r="J1331" t="inlineStr">
        <is>
          <t>aaa3ac873e55fcd08019bc3375983d70604d05d2</t>
        </is>
      </c>
      <c r="K1331">
        <f>HYPERLINK("http://gitlab.osmosys.co/incident-reporter/incident-reporter-app/-/merge_requests/1793#note_238431", "If things are changes from POST to get then please use same **fetchDepartments function and modify but don't create new one. And also take the value dynamically from TS file**")</f>
        <v/>
      </c>
      <c r="L1331" t="inlineStr">
        <is>
          <t>2025-07-17 15:58:33.453 IST</t>
        </is>
      </c>
      <c r="M1331" t="inlineStr">
        <is>
          <t>Soundariya B</t>
        </is>
      </c>
      <c r="N1331" t="inlineStr">
        <is>
          <t>Yes</t>
        </is>
      </c>
      <c r="O1331" t="inlineStr">
        <is>
          <t>Yes</t>
        </is>
      </c>
      <c r="P1331" t="inlineStr">
        <is>
          <t>Soundariya B</t>
        </is>
      </c>
      <c r="Q1331" t="inlineStr">
        <is>
          <t>Neutral</t>
        </is>
      </c>
    </row>
    <row r="1332">
      <c r="A1332" t="inlineStr">
        <is>
          <t>rupam.v</t>
        </is>
      </c>
      <c r="B1332" t="inlineStr">
        <is>
          <t>Rupam Vallecha</t>
        </is>
      </c>
      <c r="C1332" t="inlineStr">
        <is>
          <t>rupam.v@osmosys.co</t>
        </is>
      </c>
      <c r="D1332" t="inlineStr">
        <is>
          <t>incident-reporter</t>
        </is>
      </c>
      <c r="E1332">
        <f>HYPERLINK("http://gitlab.osmosys.co/incident-reporter/incident-reporter-app", "OQSHA Mobile App")</f>
        <v/>
      </c>
      <c r="F1332">
        <f>HYPERLINK("http://gitlab.osmosys.co/incident-reporter/incident-reporter-app/-/merge_requests/1793", "fix: update department fetch logic")</f>
        <v/>
      </c>
      <c r="G1332" t="inlineStr">
        <is>
          <t>fix/change-department-api</t>
        </is>
      </c>
      <c r="H1332" t="inlineStr">
        <is>
          <t>sprint-17</t>
        </is>
      </c>
      <c r="I1332" t="inlineStr">
        <is>
          <t>merged</t>
        </is>
      </c>
      <c r="J1332" t="inlineStr">
        <is>
          <t>aaa3ac873e55fcd08019bc3375983d70604d05d2</t>
        </is>
      </c>
      <c r="K1332">
        <f>HYPERLINK("http://gitlab.osmosys.co/incident-reporter/incident-reporter-app/-/merge_requests/1793#note_238442", "this one was already there, fetch was added later")</f>
        <v/>
      </c>
      <c r="L1332" t="inlineStr">
        <is>
          <t>2025-07-17 16:08:55.555 IST</t>
        </is>
      </c>
      <c r="M1332" t="inlineStr">
        <is>
          <t>Rupam Vallecha</t>
        </is>
      </c>
      <c r="N1332" t="inlineStr">
        <is>
          <t>No</t>
        </is>
      </c>
      <c r="O1332" t="inlineStr">
        <is>
          <t>Yes</t>
        </is>
      </c>
      <c r="P1332" t="inlineStr">
        <is>
          <t>Soundariya B</t>
        </is>
      </c>
      <c r="Q1332" t="inlineStr">
        <is>
          <t>Neutral</t>
        </is>
      </c>
    </row>
    <row r="1333">
      <c r="A1333" t="inlineStr">
        <is>
          <t>rupam.v</t>
        </is>
      </c>
      <c r="B1333" t="inlineStr">
        <is>
          <t>Rupam Vallecha</t>
        </is>
      </c>
      <c r="C1333" t="inlineStr">
        <is>
          <t>rupam.v@osmosys.co</t>
        </is>
      </c>
      <c r="D1333" t="inlineStr">
        <is>
          <t>incident-reporter</t>
        </is>
      </c>
      <c r="E1333">
        <f>HYPERLINK("http://gitlab.osmosys.co/incident-reporter/incident-reporter-app", "OQSHA Mobile App")</f>
        <v/>
      </c>
      <c r="F1333">
        <f>HYPERLINK("http://gitlab.osmosys.co/incident-reporter/incident-reporter-app/-/merge_requests/1793", "fix: update department fetch logic")</f>
        <v/>
      </c>
      <c r="G1333" t="inlineStr">
        <is>
          <t>fix/change-department-api</t>
        </is>
      </c>
      <c r="H1333" t="inlineStr">
        <is>
          <t>sprint-17</t>
        </is>
      </c>
      <c r="I1333" t="inlineStr">
        <is>
          <t>merged</t>
        </is>
      </c>
      <c r="J1333" t="inlineStr">
        <is>
          <t>aaa3ac873e55fcd08019bc3375983d70604d05d2</t>
        </is>
      </c>
      <c r="K1333">
        <f>HYPERLINK("http://gitlab.osmosys.co/incident-reporter/incident-reporter-app/-/merge_requests/1793#note_238498", "As got confirm with Raj that should be fix it later so for now its ok")</f>
        <v/>
      </c>
      <c r="L1333" t="inlineStr">
        <is>
          <t>2025-07-17 16:48:56.108 IST</t>
        </is>
      </c>
      <c r="M1333" t="inlineStr">
        <is>
          <t>Soundariya B</t>
        </is>
      </c>
      <c r="N1333" t="inlineStr">
        <is>
          <t>Yes</t>
        </is>
      </c>
      <c r="O1333" t="inlineStr">
        <is>
          <t>Yes</t>
        </is>
      </c>
      <c r="P1333" t="inlineStr">
        <is>
          <t>Soundariya B</t>
        </is>
      </c>
      <c r="Q1333" t="inlineStr">
        <is>
          <t>Neutral</t>
        </is>
      </c>
    </row>
    <row r="1334">
      <c r="A1334" t="inlineStr">
        <is>
          <t>rupam.v</t>
        </is>
      </c>
      <c r="B1334" t="inlineStr">
        <is>
          <t>Rupam Vallecha</t>
        </is>
      </c>
      <c r="C1334" t="inlineStr">
        <is>
          <t>rupam.v@osmosys.co</t>
        </is>
      </c>
      <c r="D1334" t="inlineStr">
        <is>
          <t>incident-reporter</t>
        </is>
      </c>
      <c r="E1334">
        <f>HYPERLINK("http://gitlab.osmosys.co/incident-reporter/incident-reporter-app", "OQSHA Mobile App")</f>
        <v/>
      </c>
      <c r="F1334">
        <f>HYPERLINK("http://gitlab.osmosys.co/incident-reporter/incident-reporter-app/-/merge_requests/1777", "fix: update department visibility logic")</f>
        <v/>
      </c>
      <c r="G1334" t="inlineStr">
        <is>
          <t>fix/add-inspection-department</t>
        </is>
      </c>
      <c r="H1334" t="inlineStr">
        <is>
          <t>sprint-17</t>
        </is>
      </c>
      <c r="I1334" t="inlineStr">
        <is>
          <t>merged</t>
        </is>
      </c>
      <c r="J1334" t="inlineStr"/>
      <c r="K1334" t="inlineStr"/>
      <c r="L1334" t="inlineStr"/>
      <c r="M1334" t="inlineStr"/>
      <c r="N1334" t="inlineStr"/>
      <c r="O1334" t="inlineStr"/>
      <c r="P1334" t="inlineStr"/>
      <c r="Q1334" t="inlineStr"/>
    </row>
    <row r="1335">
      <c r="A1335" t="inlineStr">
        <is>
          <t>rupam.v</t>
        </is>
      </c>
      <c r="B1335" t="inlineStr">
        <is>
          <t>Rupam Vallecha</t>
        </is>
      </c>
      <c r="C1335" t="inlineStr">
        <is>
          <t>rupam.v@osmosys.co</t>
        </is>
      </c>
      <c r="D1335" t="inlineStr">
        <is>
          <t>incident-reporter</t>
        </is>
      </c>
      <c r="E1335">
        <f>HYPERLINK("http://gitlab.osmosys.co/incident-reporter/incident-reporter-app", "OQSHA Mobile App")</f>
        <v/>
      </c>
      <c r="F1335">
        <f>HYPERLINK("http://gitlab.osmosys.co/incident-reporter/incident-reporter-app/-/merge_requests/1754", "feat: add department association with inspection")</f>
        <v/>
      </c>
      <c r="G1335" t="inlineStr">
        <is>
          <t>feat/add-department-association</t>
        </is>
      </c>
      <c r="H1335" t="inlineStr">
        <is>
          <t>sprint-17</t>
        </is>
      </c>
      <c r="I1335" t="inlineStr">
        <is>
          <t>merged</t>
        </is>
      </c>
      <c r="J1335" t="inlineStr">
        <is>
          <t>abc61e3dbc193f496de7d3982304051342300a0f</t>
        </is>
      </c>
      <c r="K1335">
        <f>HYPERLINK("http://gitlab.osmosys.co/incident-reporter/incident-reporter-app/-/merge_requests/1754#note_234699", "PR title is too big")</f>
        <v/>
      </c>
      <c r="L1335" t="inlineStr">
        <is>
          <t>2025-07-11 00:12:14.618 IST</t>
        </is>
      </c>
      <c r="M1335" t="inlineStr">
        <is>
          <t>Soundariya B</t>
        </is>
      </c>
      <c r="N1335" t="inlineStr">
        <is>
          <t>Yes</t>
        </is>
      </c>
      <c r="O1335" t="inlineStr">
        <is>
          <t>Yes</t>
        </is>
      </c>
      <c r="P1335" t="inlineStr">
        <is>
          <t>Soundariya B</t>
        </is>
      </c>
      <c r="Q1335" t="inlineStr">
        <is>
          <t>Bad</t>
        </is>
      </c>
    </row>
    <row r="1336">
      <c r="A1336" t="inlineStr">
        <is>
          <t>rupam.v</t>
        </is>
      </c>
      <c r="B1336" t="inlineStr">
        <is>
          <t>Rupam Vallecha</t>
        </is>
      </c>
      <c r="C1336" t="inlineStr">
        <is>
          <t>rupam.v@osmosys.co</t>
        </is>
      </c>
      <c r="D1336" t="inlineStr">
        <is>
          <t>incident-reporter</t>
        </is>
      </c>
      <c r="E1336">
        <f>HYPERLINK("http://gitlab.osmosys.co/incident-reporter/incident-reporter-app", "OQSHA Mobile App")</f>
        <v/>
      </c>
      <c r="F1336">
        <f>HYPERLINK("http://gitlab.osmosys.co/incident-reporter/incident-reporter-app/-/merge_requests/1754", "feat: add department association with inspection")</f>
        <v/>
      </c>
      <c r="G1336" t="inlineStr">
        <is>
          <t>feat/add-department-association</t>
        </is>
      </c>
      <c r="H1336" t="inlineStr">
        <is>
          <t>sprint-17</t>
        </is>
      </c>
      <c r="I1336" t="inlineStr">
        <is>
          <t>merged</t>
        </is>
      </c>
      <c r="J1336" t="inlineStr">
        <is>
          <t>abc61e3dbc193f496de7d3982304051342300a0f</t>
        </is>
      </c>
      <c r="K1336">
        <f>HYPERLINK("http://gitlab.osmosys.co/incident-reporter/incident-reporter-app/-/merge_requests/1754#note_234724", "Updated")</f>
        <v/>
      </c>
      <c r="L1336" t="inlineStr">
        <is>
          <t>2025-07-11 00:16:30.708 IST</t>
        </is>
      </c>
      <c r="M1336" t="inlineStr">
        <is>
          <t>Rupam Vallecha</t>
        </is>
      </c>
      <c r="N1336" t="inlineStr">
        <is>
          <t>No</t>
        </is>
      </c>
      <c r="O1336" t="inlineStr">
        <is>
          <t>Yes</t>
        </is>
      </c>
      <c r="P1336" t="inlineStr">
        <is>
          <t>Soundariya B</t>
        </is>
      </c>
      <c r="Q1336" t="inlineStr">
        <is>
          <t>Bad</t>
        </is>
      </c>
    </row>
    <row r="1337">
      <c r="A1337" t="inlineStr">
        <is>
          <t>rupam.v</t>
        </is>
      </c>
      <c r="B1337" t="inlineStr">
        <is>
          <t>Rupam Vallecha</t>
        </is>
      </c>
      <c r="C1337" t="inlineStr">
        <is>
          <t>rupam.v@osmosys.co</t>
        </is>
      </c>
      <c r="D1337" t="inlineStr">
        <is>
          <t>incident-reporter</t>
        </is>
      </c>
      <c r="E1337">
        <f>HYPERLINK("http://gitlab.osmosys.co/incident-reporter/incident-reporter-app", "OQSHA Mobile App")</f>
        <v/>
      </c>
      <c r="F1337">
        <f>HYPERLINK("http://gitlab.osmosys.co/incident-reporter/incident-reporter-app/-/merge_requests/1754", "feat: add department association with inspection")</f>
        <v/>
      </c>
      <c r="G1337" t="inlineStr">
        <is>
          <t>feat/add-department-association</t>
        </is>
      </c>
      <c r="H1337" t="inlineStr">
        <is>
          <t>sprint-17</t>
        </is>
      </c>
      <c r="I1337" t="inlineStr">
        <is>
          <t>merged</t>
        </is>
      </c>
      <c r="J1337" t="inlineStr">
        <is>
          <t>d654b7aae42fa95843a177f7670d1051c0641374</t>
        </is>
      </c>
      <c r="K1337">
        <f>HYPERLINK("http://gitlab.osmosys.co/incident-reporter/incident-reporter-app/-/merge_requests/1754#note_234700", "![image](/uploads/ff7b4e419c86acb885eb1b67f9adbceb/image.png)")</f>
        <v/>
      </c>
      <c r="L1337" t="inlineStr">
        <is>
          <t>2025-07-11 00:12:14.649 IST</t>
        </is>
      </c>
      <c r="M1337" t="inlineStr">
        <is>
          <t>Soundariya B</t>
        </is>
      </c>
      <c r="N1337" t="inlineStr">
        <is>
          <t>Yes</t>
        </is>
      </c>
      <c r="O1337" t="inlineStr">
        <is>
          <t>Yes</t>
        </is>
      </c>
      <c r="P1337" t="inlineStr">
        <is>
          <t>Soundariya B</t>
        </is>
      </c>
      <c r="Q1337" t="inlineStr">
        <is>
          <t>Bad</t>
        </is>
      </c>
    </row>
    <row r="1338">
      <c r="A1338" t="inlineStr">
        <is>
          <t>rupam.v</t>
        </is>
      </c>
      <c r="B1338" t="inlineStr">
        <is>
          <t>Rupam Vallecha</t>
        </is>
      </c>
      <c r="C1338" t="inlineStr">
        <is>
          <t>rupam.v@osmosys.co</t>
        </is>
      </c>
      <c r="D1338" t="inlineStr">
        <is>
          <t>incident-reporter</t>
        </is>
      </c>
      <c r="E1338">
        <f>HYPERLINK("http://gitlab.osmosys.co/incident-reporter/incident-reporter-app", "OQSHA Mobile App")</f>
        <v/>
      </c>
      <c r="F1338">
        <f>HYPERLINK("http://gitlab.osmosys.co/incident-reporter/incident-reporter-app/-/merge_requests/1754", "feat: add department association with inspection")</f>
        <v/>
      </c>
      <c r="G1338" t="inlineStr">
        <is>
          <t>feat/add-department-association</t>
        </is>
      </c>
      <c r="H1338" t="inlineStr">
        <is>
          <t>sprint-17</t>
        </is>
      </c>
      <c r="I1338" t="inlineStr">
        <is>
          <t>merged</t>
        </is>
      </c>
      <c r="J1338" t="inlineStr">
        <is>
          <t>d654b7aae42fa95843a177f7670d1051c0641374</t>
        </is>
      </c>
      <c r="K1338">
        <f>HYPERLINK("http://gitlab.osmosys.co/incident-reporter/incident-reporter-app/-/merge_requests/1754#note_234726", "Just review my changes please .")</f>
        <v/>
      </c>
      <c r="L1338" t="inlineStr">
        <is>
          <t>2025-07-11 00:17:09.627 IST</t>
        </is>
      </c>
      <c r="M1338" t="inlineStr">
        <is>
          <t>Rupam Vallecha</t>
        </is>
      </c>
      <c r="N1338" t="inlineStr">
        <is>
          <t>No</t>
        </is>
      </c>
      <c r="O1338" t="inlineStr">
        <is>
          <t>Yes</t>
        </is>
      </c>
      <c r="P1338" t="inlineStr">
        <is>
          <t>Soundariya B</t>
        </is>
      </c>
      <c r="Q1338" t="inlineStr">
        <is>
          <t>Bad</t>
        </is>
      </c>
    </row>
    <row r="1339">
      <c r="A1339" t="inlineStr">
        <is>
          <t>rupam.v</t>
        </is>
      </c>
      <c r="B1339" t="inlineStr">
        <is>
          <t>Rupam Vallecha</t>
        </is>
      </c>
      <c r="C1339" t="inlineStr">
        <is>
          <t>rupam.v@osmosys.co</t>
        </is>
      </c>
      <c r="D1339" t="inlineStr">
        <is>
          <t>incident-reporter</t>
        </is>
      </c>
      <c r="E1339">
        <f>HYPERLINK("http://gitlab.osmosys.co/incident-reporter/incident-reporter-app", "OQSHA Mobile App")</f>
        <v/>
      </c>
      <c r="F1339">
        <f>HYPERLINK("http://gitlab.osmosys.co/incident-reporter/incident-reporter-app/-/merge_requests/1754", "feat: add department association with inspection")</f>
        <v/>
      </c>
      <c r="G1339" t="inlineStr">
        <is>
          <t>feat/add-department-association</t>
        </is>
      </c>
      <c r="H1339" t="inlineStr">
        <is>
          <t>sprint-17</t>
        </is>
      </c>
      <c r="I1339" t="inlineStr">
        <is>
          <t>merged</t>
        </is>
      </c>
      <c r="J1339" t="inlineStr">
        <is>
          <t>d654b7aae42fa95843a177f7670d1051c0641374</t>
        </is>
      </c>
      <c r="K1339">
        <f>HYPERLINK("http://gitlab.osmosys.co/incident-reporter/incident-reporter-app/-/merge_requests/1754#note_235478", "This is not a big issue or change, you can update I suggest because to maintain the consistency")</f>
        <v/>
      </c>
      <c r="L1339" t="inlineStr">
        <is>
          <t>2025-07-11 18:14:43.668 IST</t>
        </is>
      </c>
      <c r="M1339" t="inlineStr">
        <is>
          <t>Soundariya B</t>
        </is>
      </c>
      <c r="N1339" t="inlineStr">
        <is>
          <t>Yes</t>
        </is>
      </c>
      <c r="O1339" t="inlineStr">
        <is>
          <t>Yes</t>
        </is>
      </c>
      <c r="P1339" t="inlineStr">
        <is>
          <t>Soundariya B</t>
        </is>
      </c>
      <c r="Q1339" t="inlineStr">
        <is>
          <t>Bad</t>
        </is>
      </c>
    </row>
    <row r="1340">
      <c r="A1340" t="inlineStr">
        <is>
          <t>rupam.v</t>
        </is>
      </c>
      <c r="B1340" t="inlineStr">
        <is>
          <t>Rupam Vallecha</t>
        </is>
      </c>
      <c r="C1340" t="inlineStr">
        <is>
          <t>rupam.v@osmosys.co</t>
        </is>
      </c>
      <c r="D1340" t="inlineStr">
        <is>
          <t>incident-reporter</t>
        </is>
      </c>
      <c r="E1340">
        <f>HYPERLINK("http://gitlab.osmosys.co/incident-reporter/incident-reporter-app", "OQSHA Mobile App")</f>
        <v/>
      </c>
      <c r="F1340">
        <f>HYPERLINK("http://gitlab.osmosys.co/incident-reporter/incident-reporter-app/-/merge_requests/1754", "feat: add department association with inspection")</f>
        <v/>
      </c>
      <c r="G1340" t="inlineStr">
        <is>
          <t>feat/add-department-association</t>
        </is>
      </c>
      <c r="H1340" t="inlineStr">
        <is>
          <t>sprint-17</t>
        </is>
      </c>
      <c r="I1340" t="inlineStr">
        <is>
          <t>merged</t>
        </is>
      </c>
      <c r="J1340" t="inlineStr">
        <is>
          <t>d654b7aae42fa95843a177f7670d1051c0641374</t>
        </is>
      </c>
      <c r="K1340">
        <f>HYPERLINK("http://gitlab.osmosys.co/incident-reporter/incident-reporter-app/-/merge_requests/1754#note_235486", "after updating only i assigned, check in changes")</f>
        <v/>
      </c>
      <c r="L1340" t="inlineStr">
        <is>
          <t>2025-07-11 18:19:00.161 IST</t>
        </is>
      </c>
      <c r="M1340" t="inlineStr">
        <is>
          <t>Rupam Vallecha</t>
        </is>
      </c>
      <c r="N1340" t="inlineStr">
        <is>
          <t>No</t>
        </is>
      </c>
      <c r="O1340" t="inlineStr">
        <is>
          <t>Yes</t>
        </is>
      </c>
      <c r="P1340" t="inlineStr">
        <is>
          <t>Soundariya B</t>
        </is>
      </c>
      <c r="Q1340" t="inlineStr">
        <is>
          <t>Bad</t>
        </is>
      </c>
    </row>
    <row r="1341">
      <c r="A1341" t="inlineStr">
        <is>
          <t>rupam.v</t>
        </is>
      </c>
      <c r="B1341" t="inlineStr">
        <is>
          <t>Rupam Vallecha</t>
        </is>
      </c>
      <c r="C1341" t="inlineStr">
        <is>
          <t>rupam.v@osmosys.co</t>
        </is>
      </c>
      <c r="D1341" t="inlineStr">
        <is>
          <t>incident-reporter</t>
        </is>
      </c>
      <c r="E1341">
        <f>HYPERLINK("http://gitlab.osmosys.co/incident-reporter/incident-reporter-app", "OQSHA Mobile App")</f>
        <v/>
      </c>
      <c r="F1341">
        <f>HYPERLINK("http://gitlab.osmosys.co/incident-reporter/incident-reporter-app/-/merge_requests/1754", "feat: add department association with inspection")</f>
        <v/>
      </c>
      <c r="G1341" t="inlineStr">
        <is>
          <t>feat/add-department-association</t>
        </is>
      </c>
      <c r="H1341" t="inlineStr">
        <is>
          <t>sprint-17</t>
        </is>
      </c>
      <c r="I1341" t="inlineStr">
        <is>
          <t>merged</t>
        </is>
      </c>
      <c r="J1341" t="inlineStr">
        <is>
          <t>d654b7aae42fa95843a177f7670d1051c0641374</t>
        </is>
      </c>
      <c r="K1341">
        <f>HYPERLINK("http://gitlab.osmosys.co/incident-reporter/incident-reporter-app/-/merge_requests/1754#note_235493", "Attaching ss for reference
![image.png](/uploads/3ee15da33551955785cfa3408377ab87/image.png){width=281 height=617}")</f>
        <v/>
      </c>
      <c r="L1341" t="inlineStr">
        <is>
          <t>2025-07-11 18:23:05.600 IST</t>
        </is>
      </c>
      <c r="M1341" t="inlineStr">
        <is>
          <t>Rupam Vallecha</t>
        </is>
      </c>
      <c r="N1341" t="inlineStr">
        <is>
          <t>No</t>
        </is>
      </c>
      <c r="O1341" t="inlineStr">
        <is>
          <t>Yes</t>
        </is>
      </c>
      <c r="P1341" t="inlineStr">
        <is>
          <t>Soundariya B</t>
        </is>
      </c>
      <c r="Q1341" t="inlineStr">
        <is>
          <t>Bad</t>
        </is>
      </c>
    </row>
    <row r="1342">
      <c r="A1342" t="inlineStr">
        <is>
          <t>rupam.v</t>
        </is>
      </c>
      <c r="B1342" t="inlineStr">
        <is>
          <t>Rupam Vallecha</t>
        </is>
      </c>
      <c r="C1342" t="inlineStr">
        <is>
          <t>rupam.v@osmosys.co</t>
        </is>
      </c>
      <c r="D1342" t="inlineStr">
        <is>
          <t>incident-reporter</t>
        </is>
      </c>
      <c r="E1342">
        <f>HYPERLINK("http://gitlab.osmosys.co/incident-reporter/incident-reporter-app", "OQSHA Mobile App")</f>
        <v/>
      </c>
      <c r="F1342">
        <f>HYPERLINK("http://gitlab.osmosys.co/incident-reporter/incident-reporter-app/-/merge_requests/1754", "feat: add department association with inspection")</f>
        <v/>
      </c>
      <c r="G1342" t="inlineStr">
        <is>
          <t>feat/add-department-association</t>
        </is>
      </c>
      <c r="H1342" t="inlineStr">
        <is>
          <t>sprint-17</t>
        </is>
      </c>
      <c r="I1342" t="inlineStr">
        <is>
          <t>merged</t>
        </is>
      </c>
      <c r="J1342" t="inlineStr">
        <is>
          <t>ad983529049cdc23115f70b34e2fa7b225a4c2e7</t>
        </is>
      </c>
      <c r="K1342">
        <f>HYPERLINK("http://gitlab.osmosys.co/incident-reporter/incident-reporter-app/-/merge_requests/1754#note_234701", "`${}` is not required as there is no string to concatenate it")</f>
        <v/>
      </c>
      <c r="L1342" t="inlineStr">
        <is>
          <t>2025-07-11 00:12:14.729 IST</t>
        </is>
      </c>
      <c r="M1342" t="inlineStr">
        <is>
          <t>Soundariya B</t>
        </is>
      </c>
      <c r="N1342" t="inlineStr">
        <is>
          <t>Yes</t>
        </is>
      </c>
      <c r="O1342" t="inlineStr">
        <is>
          <t>Yes</t>
        </is>
      </c>
      <c r="P1342" t="inlineStr">
        <is>
          <t>Soundariya B</t>
        </is>
      </c>
      <c r="Q1342" t="inlineStr">
        <is>
          <t>Bad</t>
        </is>
      </c>
    </row>
    <row r="1343">
      <c r="A1343" t="inlineStr">
        <is>
          <t>rupam.v</t>
        </is>
      </c>
      <c r="B1343" t="inlineStr">
        <is>
          <t>Rupam Vallecha</t>
        </is>
      </c>
      <c r="C1343" t="inlineStr">
        <is>
          <t>rupam.v@osmosys.co</t>
        </is>
      </c>
      <c r="D1343" t="inlineStr">
        <is>
          <t>incident-reporter</t>
        </is>
      </c>
      <c r="E1343">
        <f>HYPERLINK("http://gitlab.osmosys.co/incident-reporter/incident-reporter-app", "OQSHA Mobile App")</f>
        <v/>
      </c>
      <c r="F1343">
        <f>HYPERLINK("http://gitlab.osmosys.co/incident-reporter/incident-reporter-app/-/merge_requests/1754", "feat: add department association with inspection")</f>
        <v/>
      </c>
      <c r="G1343" t="inlineStr">
        <is>
          <t>feat/add-department-association</t>
        </is>
      </c>
      <c r="H1343" t="inlineStr">
        <is>
          <t>sprint-17</t>
        </is>
      </c>
      <c r="I1343" t="inlineStr">
        <is>
          <t>merged</t>
        </is>
      </c>
      <c r="J1343" t="inlineStr">
        <is>
          <t>ad983529049cdc23115f70b34e2fa7b225a4c2e7</t>
        </is>
      </c>
      <c r="K1343">
        <f>HYPERLINK("http://gitlab.osmosys.co/incident-reporter/incident-reporter-app/-/merge_requests/1754#note_235294", "removed")</f>
        <v/>
      </c>
      <c r="L1343" t="inlineStr">
        <is>
          <t>2025-07-11 16:00:31.837 IST</t>
        </is>
      </c>
      <c r="M1343" t="inlineStr">
        <is>
          <t>Rupam Vallecha</t>
        </is>
      </c>
      <c r="N1343" t="inlineStr">
        <is>
          <t>No</t>
        </is>
      </c>
      <c r="O1343" t="inlineStr">
        <is>
          <t>Yes</t>
        </is>
      </c>
      <c r="P1343" t="inlineStr">
        <is>
          <t>Soundariya B</t>
        </is>
      </c>
      <c r="Q1343" t="inlineStr">
        <is>
          <t>Bad</t>
        </is>
      </c>
    </row>
    <row r="1344">
      <c r="A1344" t="inlineStr">
        <is>
          <t>rupam.v</t>
        </is>
      </c>
      <c r="B1344" t="inlineStr">
        <is>
          <t>Rupam Vallecha</t>
        </is>
      </c>
      <c r="C1344" t="inlineStr">
        <is>
          <t>rupam.v@osmosys.co</t>
        </is>
      </c>
      <c r="D1344" t="inlineStr">
        <is>
          <t>incident-reporter</t>
        </is>
      </c>
      <c r="E1344">
        <f>HYPERLINK("http://gitlab.osmosys.co/incident-reporter/incident-reporter-app", "OQSHA Mobile App")</f>
        <v/>
      </c>
      <c r="F1344">
        <f>HYPERLINK("http://gitlab.osmosys.co/incident-reporter/incident-reporter-app/-/merge_requests/1754", "feat: add department association with inspection")</f>
        <v/>
      </c>
      <c r="G1344" t="inlineStr">
        <is>
          <t>feat/add-department-association</t>
        </is>
      </c>
      <c r="H1344" t="inlineStr">
        <is>
          <t>sprint-17</t>
        </is>
      </c>
      <c r="I1344" t="inlineStr">
        <is>
          <t>merged</t>
        </is>
      </c>
      <c r="J1344" t="inlineStr">
        <is>
          <t>ea4c50f1efa5200f9def7dec54ff88325faba9b9</t>
        </is>
      </c>
      <c r="K1344">
        <f>HYPERLINK("http://gitlab.osmosys.co/incident-reporter/incident-reporter-app/-/merge_requests/1754#note_234702", "It should be lbl-filter")</f>
        <v/>
      </c>
      <c r="L1344" t="inlineStr">
        <is>
          <t>2025-07-11 00:12:14.809 IST</t>
        </is>
      </c>
      <c r="M1344" t="inlineStr">
        <is>
          <t>Soundariya B</t>
        </is>
      </c>
      <c r="N1344" t="inlineStr">
        <is>
          <t>Yes</t>
        </is>
      </c>
      <c r="O1344" t="inlineStr">
        <is>
          <t>Yes</t>
        </is>
      </c>
      <c r="P1344" t="inlineStr">
        <is>
          <t>Soundariya B</t>
        </is>
      </c>
      <c r="Q1344" t="inlineStr">
        <is>
          <t>Neutral</t>
        </is>
      </c>
    </row>
    <row r="1345">
      <c r="A1345" t="inlineStr">
        <is>
          <t>rupam.v</t>
        </is>
      </c>
      <c r="B1345" t="inlineStr">
        <is>
          <t>Rupam Vallecha</t>
        </is>
      </c>
      <c r="C1345" t="inlineStr">
        <is>
          <t>rupam.v@osmosys.co</t>
        </is>
      </c>
      <c r="D1345" t="inlineStr">
        <is>
          <t>incident-reporter</t>
        </is>
      </c>
      <c r="E1345">
        <f>HYPERLINK("http://gitlab.osmosys.co/incident-reporter/incident-reporter-app", "OQSHA Mobile App")</f>
        <v/>
      </c>
      <c r="F1345">
        <f>HYPERLINK("http://gitlab.osmosys.co/incident-reporter/incident-reporter-app/-/merge_requests/1754", "feat: add department association with inspection")</f>
        <v/>
      </c>
      <c r="G1345" t="inlineStr">
        <is>
          <t>feat/add-department-association</t>
        </is>
      </c>
      <c r="H1345" t="inlineStr">
        <is>
          <t>sprint-17</t>
        </is>
      </c>
      <c r="I1345" t="inlineStr">
        <is>
          <t>merged</t>
        </is>
      </c>
      <c r="J1345" t="inlineStr">
        <is>
          <t>ea4c50f1efa5200f9def7dec54ff88325faba9b9</t>
        </is>
      </c>
      <c r="K1345">
        <f>HYPERLINK("http://gitlab.osmosys.co/incident-reporter/incident-reporter-app/-/merge_requests/1754#note_234727", "This is a global class , can't change this")</f>
        <v/>
      </c>
      <c r="L1345" t="inlineStr">
        <is>
          <t>2025-07-11 00:17:52.617 IST</t>
        </is>
      </c>
      <c r="M1345" t="inlineStr">
        <is>
          <t>Rupam Vallecha</t>
        </is>
      </c>
      <c r="N1345" t="inlineStr">
        <is>
          <t>No</t>
        </is>
      </c>
      <c r="O1345" t="inlineStr">
        <is>
          <t>Yes</t>
        </is>
      </c>
      <c r="P1345" t="inlineStr">
        <is>
          <t>Soundariya B</t>
        </is>
      </c>
      <c r="Q1345" t="inlineStr">
        <is>
          <t>Neutral</t>
        </is>
      </c>
    </row>
    <row r="1346">
      <c r="A1346" t="inlineStr">
        <is>
          <t>rupam.v</t>
        </is>
      </c>
      <c r="B1346" t="inlineStr">
        <is>
          <t>Rupam Vallecha</t>
        </is>
      </c>
      <c r="C1346" t="inlineStr">
        <is>
          <t>rupam.v@osmosys.co</t>
        </is>
      </c>
      <c r="D1346" t="inlineStr">
        <is>
          <t>incident-reporter</t>
        </is>
      </c>
      <c r="E1346">
        <f>HYPERLINK("http://gitlab.osmosys.co/incident-reporter/incident-reporter-app", "OQSHA Mobile App")</f>
        <v/>
      </c>
      <c r="F1346">
        <f>HYPERLINK("http://gitlab.osmosys.co/incident-reporter/incident-reporter-app/-/merge_requests/1754", "feat: add department association with inspection")</f>
        <v/>
      </c>
      <c r="G1346" t="inlineStr">
        <is>
          <t>feat/add-department-association</t>
        </is>
      </c>
      <c r="H1346" t="inlineStr">
        <is>
          <t>sprint-17</t>
        </is>
      </c>
      <c r="I1346" t="inlineStr">
        <is>
          <t>merged</t>
        </is>
      </c>
      <c r="J1346" t="inlineStr">
        <is>
          <t>f1207b4cddfc69adba03d1d2ae648e1fea63c05b</t>
        </is>
      </c>
      <c r="K1346">
        <f>HYPERLINK("http://gitlab.osmosys.co/incident-reporter/incident-reporter-app/-/merge_requests/1754#note_234703", "Don't use 'Any' data type")</f>
        <v/>
      </c>
      <c r="L1346" t="inlineStr">
        <is>
          <t>2025-07-11 00:12:14.912 IST</t>
        </is>
      </c>
      <c r="M1346" t="inlineStr">
        <is>
          <t>Soundariya B</t>
        </is>
      </c>
      <c r="N1346" t="inlineStr">
        <is>
          <t>Yes</t>
        </is>
      </c>
      <c r="O1346" t="inlineStr">
        <is>
          <t>Yes</t>
        </is>
      </c>
      <c r="P1346" t="inlineStr">
        <is>
          <t>Soundariya B</t>
        </is>
      </c>
      <c r="Q1346" t="inlineStr">
        <is>
          <t>Bad</t>
        </is>
      </c>
    </row>
    <row r="1347">
      <c r="A1347" t="inlineStr">
        <is>
          <t>rupam.v</t>
        </is>
      </c>
      <c r="B1347" t="inlineStr">
        <is>
          <t>Rupam Vallecha</t>
        </is>
      </c>
      <c r="C1347" t="inlineStr">
        <is>
          <t>rupam.v@osmosys.co</t>
        </is>
      </c>
      <c r="D1347" t="inlineStr">
        <is>
          <t>incident-reporter</t>
        </is>
      </c>
      <c r="E1347">
        <f>HYPERLINK("http://gitlab.osmosys.co/incident-reporter/incident-reporter-app", "OQSHA Mobile App")</f>
        <v/>
      </c>
      <c r="F1347">
        <f>HYPERLINK("http://gitlab.osmosys.co/incident-reporter/incident-reporter-app/-/merge_requests/1754", "feat: add department association with inspection")</f>
        <v/>
      </c>
      <c r="G1347" t="inlineStr">
        <is>
          <t>feat/add-department-association</t>
        </is>
      </c>
      <c r="H1347" t="inlineStr">
        <is>
          <t>sprint-17</t>
        </is>
      </c>
      <c r="I1347" t="inlineStr">
        <is>
          <t>merged</t>
        </is>
      </c>
      <c r="J1347" t="inlineStr">
        <is>
          <t>f1207b4cddfc69adba03d1d2ae648e1fea63c05b</t>
        </is>
      </c>
      <c r="K1347">
        <f>HYPERLINK("http://gitlab.osmosys.co/incident-reporter/incident-reporter-app/-/merge_requests/1754#note_235219", "removed")</f>
        <v/>
      </c>
      <c r="L1347" t="inlineStr">
        <is>
          <t>2025-07-11 14:59:02.316 IST</t>
        </is>
      </c>
      <c r="M1347" t="inlineStr">
        <is>
          <t>Rupam Vallecha</t>
        </is>
      </c>
      <c r="N1347" t="inlineStr">
        <is>
          <t>No</t>
        </is>
      </c>
      <c r="O1347" t="inlineStr">
        <is>
          <t>Yes</t>
        </is>
      </c>
      <c r="P1347" t="inlineStr">
        <is>
          <t>Soundariya B</t>
        </is>
      </c>
      <c r="Q1347" t="inlineStr">
        <is>
          <t>Bad</t>
        </is>
      </c>
    </row>
    <row r="1348">
      <c r="A1348" t="inlineStr">
        <is>
          <t>rupam.v</t>
        </is>
      </c>
      <c r="B1348" t="inlineStr">
        <is>
          <t>Rupam Vallecha</t>
        </is>
      </c>
      <c r="C1348" t="inlineStr">
        <is>
          <t>rupam.v@osmosys.co</t>
        </is>
      </c>
      <c r="D1348" t="inlineStr">
        <is>
          <t>incident-reporter</t>
        </is>
      </c>
      <c r="E1348">
        <f>HYPERLINK("http://gitlab.osmosys.co/incident-reporter/incident-reporter-app", "OQSHA Mobile App")</f>
        <v/>
      </c>
      <c r="F1348">
        <f>HYPERLINK("http://gitlab.osmosys.co/incident-reporter/incident-reporter-app/-/merge_requests/1754", "feat: add department association with inspection")</f>
        <v/>
      </c>
      <c r="G1348" t="inlineStr">
        <is>
          <t>feat/add-department-association</t>
        </is>
      </c>
      <c r="H1348" t="inlineStr">
        <is>
          <t>sprint-17</t>
        </is>
      </c>
      <c r="I1348" t="inlineStr">
        <is>
          <t>merged</t>
        </is>
      </c>
      <c r="J1348" t="inlineStr">
        <is>
          <t>f9dcfca94234f1047b4e21c344d8df59e7985df2</t>
        </is>
      </c>
      <c r="K1348">
        <f>HYPERLINK("http://gitlab.osmosys.co/incident-reporter/incident-reporter-app/-/merge_requests/1754#note_234704", "Can you take the data type of the payload from interface model as there is chance the things will add later.")</f>
        <v/>
      </c>
      <c r="L1348" t="inlineStr">
        <is>
          <t>2025-07-11 00:12:14.997 IST</t>
        </is>
      </c>
      <c r="M1348" t="inlineStr">
        <is>
          <t>Soundariya B</t>
        </is>
      </c>
      <c r="N1348" t="inlineStr">
        <is>
          <t>Yes</t>
        </is>
      </c>
      <c r="O1348" t="inlineStr">
        <is>
          <t>Yes</t>
        </is>
      </c>
      <c r="P1348" t="inlineStr">
        <is>
          <t>Soundariya B</t>
        </is>
      </c>
      <c r="Q1348" t="inlineStr">
        <is>
          <t>Neutral</t>
        </is>
      </c>
    </row>
    <row r="1349">
      <c r="A1349" t="inlineStr">
        <is>
          <t>rupam.v</t>
        </is>
      </c>
      <c r="B1349" t="inlineStr">
        <is>
          <t>Rupam Vallecha</t>
        </is>
      </c>
      <c r="C1349" t="inlineStr">
        <is>
          <t>rupam.v@osmosys.co</t>
        </is>
      </c>
      <c r="D1349" t="inlineStr">
        <is>
          <t>incident-reporter</t>
        </is>
      </c>
      <c r="E1349">
        <f>HYPERLINK("http://gitlab.osmosys.co/incident-reporter/incident-reporter-app", "OQSHA Mobile App")</f>
        <v/>
      </c>
      <c r="F1349">
        <f>HYPERLINK("http://gitlab.osmosys.co/incident-reporter/incident-reporter-app/-/merge_requests/1754", "feat: add department association with inspection")</f>
        <v/>
      </c>
      <c r="G1349" t="inlineStr">
        <is>
          <t>feat/add-department-association</t>
        </is>
      </c>
      <c r="H1349" t="inlineStr">
        <is>
          <t>sprint-17</t>
        </is>
      </c>
      <c r="I1349" t="inlineStr">
        <is>
          <t>merged</t>
        </is>
      </c>
      <c r="J1349" t="inlineStr">
        <is>
          <t>f9dcfca94234f1047b4e21c344d8df59e7985df2</t>
        </is>
      </c>
      <c r="K1349">
        <f>HYPERLINK("http://gitlab.osmosys.co/incident-reporter/incident-reporter-app/-/merge_requests/1754#note_235217", "this is to fetch departments based on sites, and rest we just sorting on basis of name, there will be no change for this function .")</f>
        <v/>
      </c>
      <c r="L1349" t="inlineStr">
        <is>
          <t>2025-07-11 14:58:17.491 IST</t>
        </is>
      </c>
      <c r="M1349" t="inlineStr">
        <is>
          <t>Rupam Vallecha</t>
        </is>
      </c>
      <c r="N1349" t="inlineStr">
        <is>
          <t>No</t>
        </is>
      </c>
      <c r="O1349" t="inlineStr">
        <is>
          <t>Yes</t>
        </is>
      </c>
      <c r="P1349" t="inlineStr">
        <is>
          <t>Soundariya B</t>
        </is>
      </c>
      <c r="Q1349" t="inlineStr">
        <is>
          <t>Neutral</t>
        </is>
      </c>
    </row>
    <row r="1350">
      <c r="A1350" t="inlineStr">
        <is>
          <t>rupam.v</t>
        </is>
      </c>
      <c r="B1350" t="inlineStr">
        <is>
          <t>Rupam Vallecha</t>
        </is>
      </c>
      <c r="C1350" t="inlineStr">
        <is>
          <t>rupam.v@osmosys.co</t>
        </is>
      </c>
      <c r="D1350" t="inlineStr">
        <is>
          <t>incident-reporter</t>
        </is>
      </c>
      <c r="E1350">
        <f>HYPERLINK("http://gitlab.osmosys.co/incident-reporter/incident-reporter-app", "OQSHA Mobile App")</f>
        <v/>
      </c>
      <c r="F1350">
        <f>HYPERLINK("http://gitlab.osmosys.co/incident-reporter/incident-reporter-app/-/merge_requests/1754", "feat: add department association with inspection")</f>
        <v/>
      </c>
      <c r="G1350" t="inlineStr">
        <is>
          <t>feat/add-department-association</t>
        </is>
      </c>
      <c r="H1350" t="inlineStr">
        <is>
          <t>sprint-17</t>
        </is>
      </c>
      <c r="I1350" t="inlineStr">
        <is>
          <t>merged</t>
        </is>
      </c>
      <c r="J1350" t="inlineStr">
        <is>
          <t>f9dcfca94234f1047b4e21c344d8df59e7985df2</t>
        </is>
      </c>
      <c r="K1350">
        <f>HYPERLINK("http://gitlab.osmosys.co/incident-reporter/incident-reporter-app/-/merge_requests/1754#note_235482", "It can take from interface model I am not sure what is the problem in this?")</f>
        <v/>
      </c>
      <c r="L1350" t="inlineStr">
        <is>
          <t>2025-07-11 18:15:50.790 IST</t>
        </is>
      </c>
      <c r="M1350" t="inlineStr">
        <is>
          <t>Soundariya B</t>
        </is>
      </c>
      <c r="N1350" t="inlineStr">
        <is>
          <t>Yes</t>
        </is>
      </c>
      <c r="O1350" t="inlineStr">
        <is>
          <t>Yes</t>
        </is>
      </c>
      <c r="P1350" t="inlineStr">
        <is>
          <t>Soundariya B</t>
        </is>
      </c>
      <c r="Q1350" t="inlineStr">
        <is>
          <t>Neutral</t>
        </is>
      </c>
    </row>
    <row r="1351">
      <c r="A1351" t="inlineStr">
        <is>
          <t>rupam.v</t>
        </is>
      </c>
      <c r="B1351" t="inlineStr">
        <is>
          <t>Rupam Vallecha</t>
        </is>
      </c>
      <c r="C1351" t="inlineStr">
        <is>
          <t>rupam.v@osmosys.co</t>
        </is>
      </c>
      <c r="D1351" t="inlineStr">
        <is>
          <t>incident-reporter</t>
        </is>
      </c>
      <c r="E1351">
        <f>HYPERLINK("http://gitlab.osmosys.co/incident-reporter/incident-reporter-app", "OQSHA Mobile App")</f>
        <v/>
      </c>
      <c r="F1351">
        <f>HYPERLINK("http://gitlab.osmosys.co/incident-reporter/incident-reporter-app/-/merge_requests/1754", "feat: add department association with inspection")</f>
        <v/>
      </c>
      <c r="G1351" t="inlineStr">
        <is>
          <t>feat/add-department-association</t>
        </is>
      </c>
      <c r="H1351" t="inlineStr">
        <is>
          <t>sprint-17</t>
        </is>
      </c>
      <c r="I1351" t="inlineStr">
        <is>
          <t>merged</t>
        </is>
      </c>
      <c r="J1351" t="inlineStr">
        <is>
          <t>f9dcfca94234f1047b4e21c344d8df59e7985df2</t>
        </is>
      </c>
      <c r="K1351">
        <f>HYPERLINK("http://gitlab.osmosys.co/incident-reporter/incident-reporter-app/-/merge_requests/1754#note_235490", "because it wont be modified here")</f>
        <v/>
      </c>
      <c r="L1351" t="inlineStr">
        <is>
          <t>2025-07-11 18:21:30.597 IST</t>
        </is>
      </c>
      <c r="M1351" t="inlineStr">
        <is>
          <t>Rupam Vallecha</t>
        </is>
      </c>
      <c r="N1351" t="inlineStr">
        <is>
          <t>No</t>
        </is>
      </c>
      <c r="O1351" t="inlineStr">
        <is>
          <t>Yes</t>
        </is>
      </c>
      <c r="P1351" t="inlineStr">
        <is>
          <t>Soundariya B</t>
        </is>
      </c>
      <c r="Q1351" t="inlineStr">
        <is>
          <t>Neutral</t>
        </is>
      </c>
    </row>
    <row r="1352">
      <c r="A1352" t="inlineStr">
        <is>
          <t>rupam.v</t>
        </is>
      </c>
      <c r="B1352" t="inlineStr">
        <is>
          <t>Rupam Vallecha</t>
        </is>
      </c>
      <c r="C1352" t="inlineStr">
        <is>
          <t>rupam.v@osmosys.co</t>
        </is>
      </c>
      <c r="D1352" t="inlineStr">
        <is>
          <t>incident-reporter</t>
        </is>
      </c>
      <c r="E1352">
        <f>HYPERLINK("http://gitlab.osmosys.co/incident-reporter/incident-reporter-app", "OQSHA Mobile App")</f>
        <v/>
      </c>
      <c r="F1352">
        <f>HYPERLINK("http://gitlab.osmosys.co/incident-reporter/incident-reporter-app/-/merge_requests/1754", "feat: add department association with inspection")</f>
        <v/>
      </c>
      <c r="G1352" t="inlineStr">
        <is>
          <t>feat/add-department-association</t>
        </is>
      </c>
      <c r="H1352" t="inlineStr">
        <is>
          <t>sprint-17</t>
        </is>
      </c>
      <c r="I1352" t="inlineStr">
        <is>
          <t>merged</t>
        </is>
      </c>
      <c r="J1352" t="inlineStr">
        <is>
          <t>e4583122df7a754b978e493bc510aca6d4c9d98b</t>
        </is>
      </c>
      <c r="K1352">
        <f>HYPERLINK("http://gitlab.osmosys.co/incident-reporter/incident-reporter-app/-/merge_requests/1754#note_234705", "Maintain the consistency - it should be 'No department(s) available'")</f>
        <v/>
      </c>
      <c r="L1352" t="inlineStr">
        <is>
          <t>2025-07-11 00:12:15.086 IST</t>
        </is>
      </c>
      <c r="M1352" t="inlineStr">
        <is>
          <t>Soundariya B</t>
        </is>
      </c>
      <c r="N1352" t="inlineStr">
        <is>
          <t>Yes</t>
        </is>
      </c>
      <c r="O1352" t="inlineStr">
        <is>
          <t>Yes</t>
        </is>
      </c>
      <c r="P1352" t="inlineStr">
        <is>
          <t>Soundariya B</t>
        </is>
      </c>
      <c r="Q1352" t="inlineStr">
        <is>
          <t>Bad</t>
        </is>
      </c>
    </row>
    <row r="1353">
      <c r="A1353" t="inlineStr">
        <is>
          <t>rupam.v</t>
        </is>
      </c>
      <c r="B1353" t="inlineStr">
        <is>
          <t>Rupam Vallecha</t>
        </is>
      </c>
      <c r="C1353" t="inlineStr">
        <is>
          <t>rupam.v@osmosys.co</t>
        </is>
      </c>
      <c r="D1353" t="inlineStr">
        <is>
          <t>incident-reporter</t>
        </is>
      </c>
      <c r="E1353">
        <f>HYPERLINK("http://gitlab.osmosys.co/incident-reporter/incident-reporter-app", "OQSHA Mobile App")</f>
        <v/>
      </c>
      <c r="F1353">
        <f>HYPERLINK("http://gitlab.osmosys.co/incident-reporter/incident-reporter-app/-/merge_requests/1754", "feat: add department association with inspection")</f>
        <v/>
      </c>
      <c r="G1353" t="inlineStr">
        <is>
          <t>feat/add-department-association</t>
        </is>
      </c>
      <c r="H1353" t="inlineStr">
        <is>
          <t>sprint-17</t>
        </is>
      </c>
      <c r="I1353" t="inlineStr">
        <is>
          <t>merged</t>
        </is>
      </c>
      <c r="J1353" t="inlineStr">
        <is>
          <t>e4583122df7a754b978e493bc510aca6d4c9d98b</t>
        </is>
      </c>
      <c r="K1353">
        <f>HYPERLINK("http://gitlab.osmosys.co/incident-reporter/incident-reporter-app/-/merge_requests/1754#note_235218", "done")</f>
        <v/>
      </c>
      <c r="L1353" t="inlineStr">
        <is>
          <t>2025-07-11 14:58:25.166 IST</t>
        </is>
      </c>
      <c r="M1353" t="inlineStr">
        <is>
          <t>Rupam Vallecha</t>
        </is>
      </c>
      <c r="N1353" t="inlineStr">
        <is>
          <t>No</t>
        </is>
      </c>
      <c r="O1353" t="inlineStr">
        <is>
          <t>Yes</t>
        </is>
      </c>
      <c r="P1353" t="inlineStr">
        <is>
          <t>Soundariya B</t>
        </is>
      </c>
      <c r="Q1353" t="inlineStr">
        <is>
          <t>Bad</t>
        </is>
      </c>
    </row>
    <row r="1354">
      <c r="A1354" t="inlineStr">
        <is>
          <t>rupam.v</t>
        </is>
      </c>
      <c r="B1354" t="inlineStr">
        <is>
          <t>Rupam Vallecha</t>
        </is>
      </c>
      <c r="C1354" t="inlineStr">
        <is>
          <t>rupam.v@osmosys.co</t>
        </is>
      </c>
      <c r="D1354" t="inlineStr">
        <is>
          <t>incident-reporter</t>
        </is>
      </c>
      <c r="E1354">
        <f>HYPERLINK("http://gitlab.osmosys.co/incident-reporter/incident-reporter-app", "OQSHA Mobile App")</f>
        <v/>
      </c>
      <c r="F1354">
        <f>HYPERLINK("http://gitlab.osmosys.co/incident-reporter/incident-reporter-app/-/merge_requests/1734", "fix: update checks validation")</f>
        <v/>
      </c>
      <c r="G1354" t="inlineStr">
        <is>
          <t>fix/update-checks-method</t>
        </is>
      </c>
      <c r="H1354" t="inlineStr">
        <is>
          <t>sprint-16</t>
        </is>
      </c>
      <c r="I1354" t="inlineStr">
        <is>
          <t>merged</t>
        </is>
      </c>
      <c r="J1354" t="inlineStr"/>
      <c r="K1354" t="inlineStr"/>
      <c r="L1354" t="inlineStr"/>
      <c r="M1354" t="inlineStr"/>
      <c r="N1354" t="inlineStr"/>
      <c r="O1354" t="inlineStr"/>
      <c r="P1354" t="inlineStr"/>
      <c r="Q1354" t="inlineStr"/>
    </row>
    <row r="1355">
      <c r="A1355" t="inlineStr">
        <is>
          <t>paritoshkumar.j</t>
        </is>
      </c>
      <c r="B1355" t="inlineStr">
        <is>
          <t>Paritosh Kumar Jha</t>
        </is>
      </c>
      <c r="C1355" t="inlineStr">
        <is>
          <t>paritoshkumar.j@osmosys.co</t>
        </is>
      </c>
      <c r="D1355" t="inlineStr">
        <is>
          <t>incident-reporter</t>
        </is>
      </c>
      <c r="E1355">
        <f>HYPERLINK("http://gitlab.osmosys.co/incident-reporter/incident-reporter-angular-portal", "OQSHA Portal")</f>
        <v/>
      </c>
      <c r="F1355">
        <f>HYPERLINK("http://gitlab.osmosys.co/incident-reporter/incident-reporter-angular-portal/-/merge_requests/3697", "fix: update role checking logic for ehs user types")</f>
        <v/>
      </c>
      <c r="G1355" t="inlineStr">
        <is>
          <t>fix/role-identification-logic</t>
        </is>
      </c>
      <c r="H1355" t="inlineStr">
        <is>
          <t>sprint-19</t>
        </is>
      </c>
      <c r="I1355" t="inlineStr">
        <is>
          <t>merged</t>
        </is>
      </c>
      <c r="J1355" t="inlineStr"/>
      <c r="K1355" t="inlineStr"/>
      <c r="L1355" t="inlineStr"/>
      <c r="M1355" t="inlineStr"/>
      <c r="N1355" t="inlineStr"/>
      <c r="O1355" t="inlineStr"/>
      <c r="P1355" t="inlineStr"/>
      <c r="Q1355" t="inlineStr"/>
    </row>
    <row r="1356">
      <c r="A1356" t="inlineStr">
        <is>
          <t>paritoshkumar.j</t>
        </is>
      </c>
      <c r="B1356" t="inlineStr">
        <is>
          <t>Paritosh Kumar Jha</t>
        </is>
      </c>
      <c r="C1356" t="inlineStr">
        <is>
          <t>paritoshkumar.j@osmosys.co</t>
        </is>
      </c>
      <c r="D1356" t="inlineStr">
        <is>
          <t>incident-reporter</t>
        </is>
      </c>
      <c r="E1356">
        <f>HYPERLINK("http://gitlab.osmosys.co/incident-reporter/incident-reporter-angular-portal", "OQSHA Portal")</f>
        <v/>
      </c>
      <c r="F1356">
        <f>HYPERLINK("http://gitlab.osmosys.co/incident-reporter/incident-reporter-angular-portal/-/merge_requests/3696", "feat: add status buttons in moc")</f>
        <v/>
      </c>
      <c r="G1356" t="inlineStr">
        <is>
          <t>feat/add-moc-status-btn</t>
        </is>
      </c>
      <c r="H1356" t="inlineStr">
        <is>
          <t>sprint-19</t>
        </is>
      </c>
      <c r="I1356" t="inlineStr">
        <is>
          <t>merged</t>
        </is>
      </c>
      <c r="J1356" t="inlineStr"/>
      <c r="K1356" t="inlineStr"/>
      <c r="L1356" t="inlineStr"/>
      <c r="M1356" t="inlineStr"/>
      <c r="N1356" t="inlineStr"/>
      <c r="O1356" t="inlineStr"/>
      <c r="P1356" t="inlineStr"/>
      <c r="Q1356" t="inlineStr"/>
    </row>
    <row r="1357">
      <c r="A1357" t="inlineStr">
        <is>
          <t>paritoshkumar.j</t>
        </is>
      </c>
      <c r="B1357" t="inlineStr">
        <is>
          <t>Paritosh Kumar Jha</t>
        </is>
      </c>
      <c r="C1357" t="inlineStr">
        <is>
          <t>paritoshkumar.j@osmosys.co</t>
        </is>
      </c>
      <c r="D1357" t="inlineStr">
        <is>
          <t>incident-reporter</t>
        </is>
      </c>
      <c r="E1357">
        <f>HYPERLINK("http://gitlab.osmosys.co/incident-reporter/incident-reporter-angular-portal", "OQSHA Portal")</f>
        <v/>
      </c>
      <c r="F1357">
        <f>HYPERLINK("http://gitlab.osmosys.co/incident-reporter/incident-reporter-angular-portal/-/merge_requests/3691", "feat: reposition moc buttons")</f>
        <v/>
      </c>
      <c r="G1357" t="inlineStr">
        <is>
          <t>feat/reposition-moc-buttons</t>
        </is>
      </c>
      <c r="H1357" t="inlineStr">
        <is>
          <t>sprint-19</t>
        </is>
      </c>
      <c r="I1357" t="inlineStr">
        <is>
          <t>merged</t>
        </is>
      </c>
      <c r="J1357" t="inlineStr"/>
      <c r="K1357" t="inlineStr"/>
      <c r="L1357" t="inlineStr"/>
      <c r="M1357" t="inlineStr"/>
      <c r="N1357" t="inlineStr"/>
      <c r="O1357" t="inlineStr"/>
      <c r="P1357" t="inlineStr"/>
      <c r="Q1357" t="inlineStr"/>
    </row>
    <row r="1358">
      <c r="A1358" t="inlineStr">
        <is>
          <t>paritoshkumar.j</t>
        </is>
      </c>
      <c r="B1358" t="inlineStr">
        <is>
          <t>Paritosh Kumar Jha</t>
        </is>
      </c>
      <c r="C1358" t="inlineStr">
        <is>
          <t>paritoshkumar.j@osmosys.co</t>
        </is>
      </c>
      <c r="D1358" t="inlineStr">
        <is>
          <t>incident-reporter</t>
        </is>
      </c>
      <c r="E1358">
        <f>HYPERLINK("http://gitlab.osmosys.co/incident-reporter/incident-reporter-angular-portal", "OQSHA Portal")</f>
        <v/>
      </c>
      <c r="F1358">
        <f>HYPERLINK("http://gitlab.osmosys.co/incident-reporter/incident-reporter-angular-portal/-/merge_requests/3684", "Draft: feat: add iot devices list page")</f>
        <v/>
      </c>
      <c r="G1358" t="inlineStr">
        <is>
          <t>feat/iot-device-list</t>
        </is>
      </c>
      <c r="H1358" t="inlineStr">
        <is>
          <t>sprint-19</t>
        </is>
      </c>
      <c r="I1358" t="inlineStr">
        <is>
          <t>opened</t>
        </is>
      </c>
      <c r="J1358" t="inlineStr"/>
      <c r="K1358" t="inlineStr"/>
      <c r="L1358" t="inlineStr"/>
      <c r="M1358" t="inlineStr"/>
      <c r="N1358" t="inlineStr"/>
      <c r="O1358" t="inlineStr"/>
      <c r="P1358" t="inlineStr"/>
      <c r="Q1358" t="inlineStr"/>
    </row>
    <row r="1359">
      <c r="A1359" t="inlineStr">
        <is>
          <t>paritoshkumar.j</t>
        </is>
      </c>
      <c r="B1359" t="inlineStr">
        <is>
          <t>Paritosh Kumar Jha</t>
        </is>
      </c>
      <c r="C1359" t="inlineStr">
        <is>
          <t>paritoshkumar.j@osmosys.co</t>
        </is>
      </c>
      <c r="D1359" t="inlineStr">
        <is>
          <t>incident-reporter</t>
        </is>
      </c>
      <c r="E1359">
        <f>HYPERLINK("http://gitlab.osmosys.co/incident-reporter/incident-reporter-angular-portal", "OQSHA Portal")</f>
        <v/>
      </c>
      <c r="F1359">
        <f>HYPERLINK("http://gitlab.osmosys.co/incident-reporter/incident-reporter-angular-portal/-/merge_requests/3674", "feat: add safety alert customizations for ttk")</f>
        <v/>
      </c>
      <c r="G1359" t="inlineStr">
        <is>
          <t>feat/ttk-ticket-customization</t>
        </is>
      </c>
      <c r="H1359" t="inlineStr">
        <is>
          <t>sprint-19</t>
        </is>
      </c>
      <c r="I1359" t="inlineStr">
        <is>
          <t>merged</t>
        </is>
      </c>
      <c r="J1359" t="inlineStr">
        <is>
          <t>1f31f1d5f6c4b271bd82c799862b2547fabecadf</t>
        </is>
      </c>
      <c r="K1359">
        <f>HYPERLINK("http://gitlab.osmosys.co/incident-reporter/incident-reporter-angular-portal/-/merge_requests/3674#note_245541", "Comments should be mandatory while assigning &amp; resolving a safety alert.
* Comment placeholder as required in bracket instead of optional
* Add the asterisk mark for the Add log field
* Should we show the error toaster message if the comment is empty or not filled?
![image.png](/uploads/7086e16448caa5a35e0f296ca95d27c8/image.png)")</f>
        <v/>
      </c>
      <c r="L1359" t="inlineStr">
        <is>
          <t>2025-08-01 16:16:48.445 IST</t>
        </is>
      </c>
      <c r="M1359" t="inlineStr">
        <is>
          <t>Soundariya B</t>
        </is>
      </c>
      <c r="N1359" t="inlineStr">
        <is>
          <t>Yes</t>
        </is>
      </c>
      <c r="O1359" t="inlineStr">
        <is>
          <t>Yes</t>
        </is>
      </c>
      <c r="P1359" t="inlineStr">
        <is>
          <t>Soundariya B</t>
        </is>
      </c>
      <c r="Q1359" t="inlineStr">
        <is>
          <t>Bad</t>
        </is>
      </c>
    </row>
    <row r="1360">
      <c r="A1360" t="inlineStr">
        <is>
          <t>paritoshkumar.j</t>
        </is>
      </c>
      <c r="B1360" t="inlineStr">
        <is>
          <t>Paritosh Kumar Jha</t>
        </is>
      </c>
      <c r="C1360" t="inlineStr">
        <is>
          <t>paritoshkumar.j@osmosys.co</t>
        </is>
      </c>
      <c r="D1360" t="inlineStr">
        <is>
          <t>incident-reporter</t>
        </is>
      </c>
      <c r="E1360">
        <f>HYPERLINK("http://gitlab.osmosys.co/incident-reporter/incident-reporter-angular-portal", "OQSHA Portal")</f>
        <v/>
      </c>
      <c r="F1360">
        <f>HYPERLINK("http://gitlab.osmosys.co/incident-reporter/incident-reporter-angular-portal/-/merge_requests/3674", "feat: add safety alert customizations for ttk")</f>
        <v/>
      </c>
      <c r="G1360" t="inlineStr">
        <is>
          <t>feat/ttk-ticket-customization</t>
        </is>
      </c>
      <c r="H1360" t="inlineStr">
        <is>
          <t>sprint-19</t>
        </is>
      </c>
      <c r="I1360" t="inlineStr">
        <is>
          <t>merged</t>
        </is>
      </c>
      <c r="J1360" t="inlineStr">
        <is>
          <t>1f31f1d5f6c4b271bd82c799862b2547fabecadf</t>
        </is>
      </c>
      <c r="K1360">
        <f>HYPERLINK("http://gitlab.osmosys.co/incident-reporter/incident-reporter-angular-portal/-/merge_requests/3674#note_245652", "We cannot Add Required in placeholder or asterisk as it is not mandatory for all the status. Some user can have multiple buttons enabled so we not decide what to show as user can click anything
I will remove the Optional text from the placeholder. We are already showing error in cases where it is required and is empty")</f>
        <v/>
      </c>
      <c r="L1360" t="inlineStr">
        <is>
          <t>2025-08-01 17:21:35.974 IST</t>
        </is>
      </c>
      <c r="M1360" t="inlineStr">
        <is>
          <t>Paritosh Kumar Jha</t>
        </is>
      </c>
      <c r="N1360" t="inlineStr">
        <is>
          <t>No</t>
        </is>
      </c>
      <c r="O1360" t="inlineStr">
        <is>
          <t>Yes</t>
        </is>
      </c>
      <c r="P1360" t="inlineStr">
        <is>
          <t>Soundariya B</t>
        </is>
      </c>
      <c r="Q1360" t="inlineStr">
        <is>
          <t>Bad</t>
        </is>
      </c>
    </row>
    <row r="1361">
      <c r="A1361" t="inlineStr">
        <is>
          <t>paritoshkumar.j</t>
        </is>
      </c>
      <c r="B1361" t="inlineStr">
        <is>
          <t>Paritosh Kumar Jha</t>
        </is>
      </c>
      <c r="C1361" t="inlineStr">
        <is>
          <t>paritoshkumar.j@osmosys.co</t>
        </is>
      </c>
      <c r="D1361" t="inlineStr">
        <is>
          <t>incident-reporter</t>
        </is>
      </c>
      <c r="E1361">
        <f>HYPERLINK("http://gitlab.osmosys.co/incident-reporter/incident-reporter-angular-portal", "OQSHA Portal")</f>
        <v/>
      </c>
      <c r="F1361">
        <f>HYPERLINK("http://gitlab.osmosys.co/incident-reporter/incident-reporter-angular-portal/-/merge_requests/3674", "feat: add safety alert customizations for ttk")</f>
        <v/>
      </c>
      <c r="G1361" t="inlineStr">
        <is>
          <t>feat/ttk-ticket-customization</t>
        </is>
      </c>
      <c r="H1361" t="inlineStr">
        <is>
          <t>sprint-19</t>
        </is>
      </c>
      <c r="I1361" t="inlineStr">
        <is>
          <t>merged</t>
        </is>
      </c>
      <c r="J1361" t="inlineStr">
        <is>
          <t>1f31f1d5f6c4b271bd82c799862b2547fabecadf</t>
        </is>
      </c>
      <c r="K1361">
        <f>HYPERLINK("http://gitlab.osmosys.co/incident-reporter/incident-reporter-angular-portal/-/merge_requests/3674#note_245774", "Removed the optional text")</f>
        <v/>
      </c>
      <c r="L1361" t="inlineStr">
        <is>
          <t>2025-08-01 19:18:58.706 IST</t>
        </is>
      </c>
      <c r="M1361" t="inlineStr">
        <is>
          <t>Paritosh Kumar Jha</t>
        </is>
      </c>
      <c r="N1361" t="inlineStr">
        <is>
          <t>No</t>
        </is>
      </c>
      <c r="O1361" t="inlineStr">
        <is>
          <t>Yes</t>
        </is>
      </c>
      <c r="P1361" t="inlineStr">
        <is>
          <t>Soundariya B</t>
        </is>
      </c>
      <c r="Q1361" t="inlineStr">
        <is>
          <t>Bad</t>
        </is>
      </c>
    </row>
    <row r="1362">
      <c r="A1362" t="inlineStr">
        <is>
          <t>paritoshkumar.j</t>
        </is>
      </c>
      <c r="B1362" t="inlineStr">
        <is>
          <t>Paritosh Kumar Jha</t>
        </is>
      </c>
      <c r="C1362" t="inlineStr">
        <is>
          <t>paritoshkumar.j@osmosys.co</t>
        </is>
      </c>
      <c r="D1362" t="inlineStr">
        <is>
          <t>incident-reporter</t>
        </is>
      </c>
      <c r="E1362">
        <f>HYPERLINK("http://gitlab.osmosys.co/incident-reporter/incident-reporter-angular-portal", "OQSHA Portal")</f>
        <v/>
      </c>
      <c r="F1362">
        <f>HYPERLINK("http://gitlab.osmosys.co/incident-reporter/incident-reporter-angular-portal/-/merge_requests/3674", "feat: add safety alert customizations for ttk")</f>
        <v/>
      </c>
      <c r="G1362" t="inlineStr">
        <is>
          <t>feat/ttk-ticket-customization</t>
        </is>
      </c>
      <c r="H1362" t="inlineStr">
        <is>
          <t>sprint-19</t>
        </is>
      </c>
      <c r="I1362" t="inlineStr">
        <is>
          <t>merged</t>
        </is>
      </c>
      <c r="J1362" t="inlineStr">
        <is>
          <t>459aeea817da3cfb290e7c15cddcd6f5f28cbe7f</t>
        </is>
      </c>
      <c r="K1362">
        <f>HYPERLINK("http://gitlab.osmosys.co/incident-reporter/incident-reporter-angular-portal/-/merge_requests/3674#note_245542", "![image.png](/uploads/55d7ff38f0d5329574bfa9d018a3e325/image.png)")</f>
        <v/>
      </c>
      <c r="L1362" t="inlineStr">
        <is>
          <t>2025-08-01 16:16:48.487 IST</t>
        </is>
      </c>
      <c r="M1362" t="inlineStr">
        <is>
          <t>Soundariya B</t>
        </is>
      </c>
      <c r="N1362" t="inlineStr">
        <is>
          <t>Yes</t>
        </is>
      </c>
      <c r="O1362" t="inlineStr">
        <is>
          <t>Yes</t>
        </is>
      </c>
      <c r="P1362" t="inlineStr">
        <is>
          <t>Soundariya B</t>
        </is>
      </c>
      <c r="Q1362" t="inlineStr">
        <is>
          <t>Bad</t>
        </is>
      </c>
    </row>
    <row r="1363">
      <c r="A1363" t="inlineStr">
        <is>
          <t>paritoshkumar.j</t>
        </is>
      </c>
      <c r="B1363" t="inlineStr">
        <is>
          <t>Paritosh Kumar Jha</t>
        </is>
      </c>
      <c r="C1363" t="inlineStr">
        <is>
          <t>paritoshkumar.j@osmosys.co</t>
        </is>
      </c>
      <c r="D1363" t="inlineStr">
        <is>
          <t>incident-reporter</t>
        </is>
      </c>
      <c r="E1363">
        <f>HYPERLINK("http://gitlab.osmosys.co/incident-reporter/incident-reporter-angular-portal", "OQSHA Portal")</f>
        <v/>
      </c>
      <c r="F1363">
        <f>HYPERLINK("http://gitlab.osmosys.co/incident-reporter/incident-reporter-angular-portal/-/merge_requests/3674", "feat: add safety alert customizations for ttk")</f>
        <v/>
      </c>
      <c r="G1363" t="inlineStr">
        <is>
          <t>feat/ttk-ticket-customization</t>
        </is>
      </c>
      <c r="H1363" t="inlineStr">
        <is>
          <t>sprint-19</t>
        </is>
      </c>
      <c r="I1363" t="inlineStr">
        <is>
          <t>merged</t>
        </is>
      </c>
      <c r="J1363" t="inlineStr">
        <is>
          <t>459aeea817da3cfb290e7c15cddcd6f5f28cbe7f</t>
        </is>
      </c>
      <c r="K1363">
        <f>HYPERLINK("http://gitlab.osmosys.co/incident-reporter/incident-reporter-angular-portal/-/merge_requests/3674#note_245611", "Already shown this horizontal ui to MS.
The asterisk mark is misaligned due to wrapping - the screenshot is taken with inspect tab open for a smaller screen. Also it was not changed.
![image.png](/uploads/2b4aff91f39d56cbfebc153f066784af/image.png){width="1476" height="67"}
Any changes regarding labels - Please confirm with Raj or MS. Also these labels were not added as a part of this task - so please avoid adding comments outside the scope of this task.")</f>
        <v/>
      </c>
      <c r="L1363" t="inlineStr">
        <is>
          <t>2025-08-01 16:49:36.257 IST</t>
        </is>
      </c>
      <c r="M1363" t="inlineStr">
        <is>
          <t>Paritosh Kumar Jha</t>
        </is>
      </c>
      <c r="N1363" t="inlineStr">
        <is>
          <t>No</t>
        </is>
      </c>
      <c r="O1363" t="inlineStr">
        <is>
          <t>Yes</t>
        </is>
      </c>
      <c r="P1363" t="inlineStr">
        <is>
          <t>Soundariya B</t>
        </is>
      </c>
      <c r="Q1363" t="inlineStr">
        <is>
          <t>Bad</t>
        </is>
      </c>
    </row>
    <row r="1364">
      <c r="A1364" t="inlineStr">
        <is>
          <t>paritoshkumar.j</t>
        </is>
      </c>
      <c r="B1364" t="inlineStr">
        <is>
          <t>Paritosh Kumar Jha</t>
        </is>
      </c>
      <c r="C1364" t="inlineStr">
        <is>
          <t>paritoshkumar.j@osmosys.co</t>
        </is>
      </c>
      <c r="D1364" t="inlineStr">
        <is>
          <t>incident-reporter</t>
        </is>
      </c>
      <c r="E1364">
        <f>HYPERLINK("http://gitlab.osmosys.co/incident-reporter/incident-reporter-angular-portal", "OQSHA Portal")</f>
        <v/>
      </c>
      <c r="F1364">
        <f>HYPERLINK("http://gitlab.osmosys.co/incident-reporter/incident-reporter-angular-portal/-/merge_requests/3674", "feat: add safety alert customizations for ttk")</f>
        <v/>
      </c>
      <c r="G1364" t="inlineStr">
        <is>
          <t>feat/ttk-ticket-customization</t>
        </is>
      </c>
      <c r="H1364" t="inlineStr">
        <is>
          <t>sprint-19</t>
        </is>
      </c>
      <c r="I1364" t="inlineStr">
        <is>
          <t>merged</t>
        </is>
      </c>
      <c r="J1364" t="inlineStr">
        <is>
          <t>4abb28175817c04e2a037d7126aadf48bdaf1d71</t>
        </is>
      </c>
      <c r="K1364">
        <f>HYPERLINK("http://gitlab.osmosys.co/incident-reporter/incident-reporter-angular-portal/-/merge_requests/3674#note_245544", "Rename it - handleCategoryOnChange()")</f>
        <v/>
      </c>
      <c r="L1364" t="inlineStr">
        <is>
          <t>2025-08-01 16:16:48.582 IST</t>
        </is>
      </c>
      <c r="M1364" t="inlineStr">
        <is>
          <t>Soundariya B</t>
        </is>
      </c>
      <c r="N1364" t="inlineStr">
        <is>
          <t>Yes</t>
        </is>
      </c>
      <c r="O1364" t="inlineStr">
        <is>
          <t>Yes</t>
        </is>
      </c>
      <c r="P1364" t="inlineStr">
        <is>
          <t>Soundariya B</t>
        </is>
      </c>
      <c r="Q1364" t="inlineStr">
        <is>
          <t>Bad</t>
        </is>
      </c>
    </row>
    <row r="1365">
      <c r="A1365" t="inlineStr">
        <is>
          <t>paritoshkumar.j</t>
        </is>
      </c>
      <c r="B1365" t="inlineStr">
        <is>
          <t>Paritosh Kumar Jha</t>
        </is>
      </c>
      <c r="C1365" t="inlineStr">
        <is>
          <t>paritoshkumar.j@osmosys.co</t>
        </is>
      </c>
      <c r="D1365" t="inlineStr">
        <is>
          <t>incident-reporter</t>
        </is>
      </c>
      <c r="E1365">
        <f>HYPERLINK("http://gitlab.osmosys.co/incident-reporter/incident-reporter-angular-portal", "OQSHA Portal")</f>
        <v/>
      </c>
      <c r="F1365">
        <f>HYPERLINK("http://gitlab.osmosys.co/incident-reporter/incident-reporter-angular-portal/-/merge_requests/3674", "feat: add safety alert customizations for ttk")</f>
        <v/>
      </c>
      <c r="G1365" t="inlineStr">
        <is>
          <t>feat/ttk-ticket-customization</t>
        </is>
      </c>
      <c r="H1365" t="inlineStr">
        <is>
          <t>sprint-19</t>
        </is>
      </c>
      <c r="I1365" t="inlineStr">
        <is>
          <t>merged</t>
        </is>
      </c>
      <c r="J1365" t="inlineStr">
        <is>
          <t>4abb28175817c04e2a037d7126aadf48bdaf1d71</t>
        </is>
      </c>
      <c r="K1365">
        <f>HYPERLINK("http://gitlab.osmosys.co/incident-reporter/incident-reporter-angular-portal/-/merge_requests/3674#note_245569", "I have added category handler specifically for radio as it was required. Using your name will cause confusion as why it is not used at angular multiselect too")</f>
        <v/>
      </c>
      <c r="L1365" t="inlineStr">
        <is>
          <t>2025-08-01 16:29:36.173 IST</t>
        </is>
      </c>
      <c r="M1365" t="inlineStr">
        <is>
          <t>Paritosh Kumar Jha</t>
        </is>
      </c>
      <c r="N1365" t="inlineStr">
        <is>
          <t>No</t>
        </is>
      </c>
      <c r="O1365" t="inlineStr">
        <is>
          <t>Yes</t>
        </is>
      </c>
      <c r="P1365" t="inlineStr">
        <is>
          <t>Soundariya B</t>
        </is>
      </c>
      <c r="Q1365" t="inlineStr">
        <is>
          <t>Bad</t>
        </is>
      </c>
    </row>
    <row r="1366">
      <c r="A1366" t="inlineStr">
        <is>
          <t>paritoshkumar.j</t>
        </is>
      </c>
      <c r="B1366" t="inlineStr">
        <is>
          <t>Paritosh Kumar Jha</t>
        </is>
      </c>
      <c r="C1366" t="inlineStr">
        <is>
          <t>paritoshkumar.j@osmosys.co</t>
        </is>
      </c>
      <c r="D1366" t="inlineStr">
        <is>
          <t>incident-reporter</t>
        </is>
      </c>
      <c r="E1366">
        <f>HYPERLINK("http://gitlab.osmosys.co/incident-reporter/incident-reporter-angular-portal", "OQSHA Portal")</f>
        <v/>
      </c>
      <c r="F1366">
        <f>HYPERLINK("http://gitlab.osmosys.co/incident-reporter/incident-reporter-angular-portal/-/merge_requests/3674", "feat: add safety alert customizations for ttk")</f>
        <v/>
      </c>
      <c r="G1366" t="inlineStr">
        <is>
          <t>feat/ttk-ticket-customization</t>
        </is>
      </c>
      <c r="H1366" t="inlineStr">
        <is>
          <t>sprint-19</t>
        </is>
      </c>
      <c r="I1366" t="inlineStr">
        <is>
          <t>merged</t>
        </is>
      </c>
      <c r="J1366" t="inlineStr">
        <is>
          <t>4abb28175817c04e2a037d7126aadf48bdaf1d71</t>
        </is>
      </c>
      <c r="K1366">
        <f>HYPERLINK("http://gitlab.osmosys.co/incident-reporter/incident-reporter-angular-portal/-/merge_requests/3674#note_245826", "Then use onCategoryRadioChange() which is better
If the method is strictly an event handler for a radio button, then use `handleCategoryRadioChange` which is perfectly fine.")</f>
        <v/>
      </c>
      <c r="L1366" t="inlineStr">
        <is>
          <t>2025-08-01 19:48:29.264 IST</t>
        </is>
      </c>
      <c r="M1366" t="inlineStr">
        <is>
          <t>Soundariya B</t>
        </is>
      </c>
      <c r="N1366" t="inlineStr">
        <is>
          <t>Yes</t>
        </is>
      </c>
      <c r="O1366" t="inlineStr">
        <is>
          <t>Yes</t>
        </is>
      </c>
      <c r="P1366" t="inlineStr">
        <is>
          <t>Soundariya B</t>
        </is>
      </c>
      <c r="Q1366" t="inlineStr">
        <is>
          <t>Bad</t>
        </is>
      </c>
    </row>
    <row r="1367">
      <c r="A1367" t="inlineStr">
        <is>
          <t>paritoshkumar.j</t>
        </is>
      </c>
      <c r="B1367" t="inlineStr">
        <is>
          <t>Paritosh Kumar Jha</t>
        </is>
      </c>
      <c r="C1367" t="inlineStr">
        <is>
          <t>paritoshkumar.j@osmosys.co</t>
        </is>
      </c>
      <c r="D1367" t="inlineStr">
        <is>
          <t>incident-reporter</t>
        </is>
      </c>
      <c r="E1367">
        <f>HYPERLINK("http://gitlab.osmosys.co/incident-reporter/incident-reporter-angular-portal", "OQSHA Portal")</f>
        <v/>
      </c>
      <c r="F1367">
        <f>HYPERLINK("http://gitlab.osmosys.co/incident-reporter/incident-reporter-angular-portal/-/merge_requests/3674", "feat: add safety alert customizations for ttk")</f>
        <v/>
      </c>
      <c r="G1367" t="inlineStr">
        <is>
          <t>feat/ttk-ticket-customization</t>
        </is>
      </c>
      <c r="H1367" t="inlineStr">
        <is>
          <t>sprint-19</t>
        </is>
      </c>
      <c r="I1367" t="inlineStr">
        <is>
          <t>merged</t>
        </is>
      </c>
      <c r="J1367" t="inlineStr">
        <is>
          <t>4abb28175817c04e2a037d7126aadf48bdaf1d71</t>
        </is>
      </c>
      <c r="K1367">
        <f>HYPERLINK("http://gitlab.osmosys.co/incident-reporter/incident-reporter-angular-portal/-/merge_requests/3674#note_245840", "Yes it is strictly an event handler")</f>
        <v/>
      </c>
      <c r="L1367" t="inlineStr">
        <is>
          <t>2025-08-01 19:53:02.194 IST</t>
        </is>
      </c>
      <c r="M1367" t="inlineStr">
        <is>
          <t>Paritosh Kumar Jha</t>
        </is>
      </c>
      <c r="N1367" t="inlineStr">
        <is>
          <t>No</t>
        </is>
      </c>
      <c r="O1367" t="inlineStr">
        <is>
          <t>Yes</t>
        </is>
      </c>
      <c r="P1367" t="inlineStr">
        <is>
          <t>Soundariya B</t>
        </is>
      </c>
      <c r="Q1367" t="inlineStr">
        <is>
          <t>Bad</t>
        </is>
      </c>
    </row>
    <row r="1368">
      <c r="A1368" t="inlineStr">
        <is>
          <t>paritoshkumar.j</t>
        </is>
      </c>
      <c r="B1368" t="inlineStr">
        <is>
          <t>Paritosh Kumar Jha</t>
        </is>
      </c>
      <c r="C1368" t="inlineStr">
        <is>
          <t>paritoshkumar.j@osmosys.co</t>
        </is>
      </c>
      <c r="D1368" t="inlineStr">
        <is>
          <t>incident-reporter</t>
        </is>
      </c>
      <c r="E1368">
        <f>HYPERLINK("http://gitlab.osmosys.co/incident-reporter/incident-reporter-angular-portal", "OQSHA Portal")</f>
        <v/>
      </c>
      <c r="F1368">
        <f>HYPERLINK("http://gitlab.osmosys.co/incident-reporter/incident-reporter-angular-portal/-/merge_requests/3674", "feat: add safety alert customizations for ttk")</f>
        <v/>
      </c>
      <c r="G1368" t="inlineStr">
        <is>
          <t>feat/ttk-ticket-customization</t>
        </is>
      </c>
      <c r="H1368" t="inlineStr">
        <is>
          <t>sprint-19</t>
        </is>
      </c>
      <c r="I1368" t="inlineStr">
        <is>
          <t>merged</t>
        </is>
      </c>
      <c r="J1368" t="inlineStr">
        <is>
          <t>5f774fcaa4ef996dd9234c507901ca070bad60cb</t>
        </is>
      </c>
      <c r="K1368">
        <f>HYPERLINK("http://gitlab.osmosys.co/incident-reporter/incident-reporter-angular-portal/-/merge_requests/3674#note_245546", "Declared the data type")</f>
        <v/>
      </c>
      <c r="L1368" t="inlineStr">
        <is>
          <t>2025-08-01 16:16:48.740 IST</t>
        </is>
      </c>
      <c r="M1368" t="inlineStr">
        <is>
          <t>Soundariya B</t>
        </is>
      </c>
      <c r="N1368" t="inlineStr">
        <is>
          <t>Yes</t>
        </is>
      </c>
      <c r="O1368" t="inlineStr">
        <is>
          <t>Yes</t>
        </is>
      </c>
      <c r="P1368" t="inlineStr">
        <is>
          <t>Soundariya B</t>
        </is>
      </c>
      <c r="Q1368" t="inlineStr">
        <is>
          <t>Bad</t>
        </is>
      </c>
    </row>
    <row r="1369">
      <c r="A1369" t="inlineStr">
        <is>
          <t>paritoshkumar.j</t>
        </is>
      </c>
      <c r="B1369" t="inlineStr">
        <is>
          <t>Paritosh Kumar Jha</t>
        </is>
      </c>
      <c r="C1369" t="inlineStr">
        <is>
          <t>paritoshkumar.j@osmosys.co</t>
        </is>
      </c>
      <c r="D1369" t="inlineStr">
        <is>
          <t>incident-reporter</t>
        </is>
      </c>
      <c r="E1369">
        <f>HYPERLINK("http://gitlab.osmosys.co/incident-reporter/incident-reporter-angular-portal", "OQSHA Portal")</f>
        <v/>
      </c>
      <c r="F1369">
        <f>HYPERLINK("http://gitlab.osmosys.co/incident-reporter/incident-reporter-angular-portal/-/merge_requests/3674", "feat: add safety alert customizations for ttk")</f>
        <v/>
      </c>
      <c r="G1369" t="inlineStr">
        <is>
          <t>feat/ttk-ticket-customization</t>
        </is>
      </c>
      <c r="H1369" t="inlineStr">
        <is>
          <t>sprint-19</t>
        </is>
      </c>
      <c r="I1369" t="inlineStr">
        <is>
          <t>merged</t>
        </is>
      </c>
      <c r="J1369" t="inlineStr">
        <is>
          <t>5f774fcaa4ef996dd9234c507901ca070bad60cb</t>
        </is>
      </c>
      <c r="K1369">
        <f>HYPERLINK("http://gitlab.osmosys.co/incident-reporter/incident-reporter-angular-portal/-/merge_requests/3674#note_245775", "Declared")</f>
        <v/>
      </c>
      <c r="L1369" t="inlineStr">
        <is>
          <t>2025-08-01 19:19:15.929 IST</t>
        </is>
      </c>
      <c r="M1369" t="inlineStr">
        <is>
          <t>Paritosh Kumar Jha</t>
        </is>
      </c>
      <c r="N1369" t="inlineStr">
        <is>
          <t>No</t>
        </is>
      </c>
      <c r="O1369" t="inlineStr">
        <is>
          <t>Yes</t>
        </is>
      </c>
      <c r="P1369" t="inlineStr">
        <is>
          <t>Soundariya B</t>
        </is>
      </c>
      <c r="Q1369" t="inlineStr">
        <is>
          <t>Bad</t>
        </is>
      </c>
    </row>
    <row r="1370">
      <c r="A1370" t="inlineStr">
        <is>
          <t>paritoshkumar.j</t>
        </is>
      </c>
      <c r="B1370" t="inlineStr">
        <is>
          <t>Paritosh Kumar Jha</t>
        </is>
      </c>
      <c r="C1370" t="inlineStr">
        <is>
          <t>paritoshkumar.j@osmosys.co</t>
        </is>
      </c>
      <c r="D1370" t="inlineStr">
        <is>
          <t>incident-reporter</t>
        </is>
      </c>
      <c r="E1370">
        <f>HYPERLINK("http://gitlab.osmosys.co/incident-reporter/incident-reporter-angular-portal", "OQSHA Portal")</f>
        <v/>
      </c>
      <c r="F1370">
        <f>HYPERLINK("http://gitlab.osmosys.co/incident-reporter/incident-reporter-angular-portal/-/merge_requests/3674", "feat: add safety alert customizations for ttk")</f>
        <v/>
      </c>
      <c r="G1370" t="inlineStr">
        <is>
          <t>feat/ttk-ticket-customization</t>
        </is>
      </c>
      <c r="H1370" t="inlineStr">
        <is>
          <t>sprint-19</t>
        </is>
      </c>
      <c r="I1370" t="inlineStr">
        <is>
          <t>merged</t>
        </is>
      </c>
      <c r="J1370" t="inlineStr">
        <is>
          <t>756448bb950ecbc21aed79690892e0213a2725de</t>
        </is>
      </c>
      <c r="K1370">
        <f>HYPERLINK("http://gitlab.osmosys.co/incident-reporter/incident-reporter-angular-portal/-/merge_requests/3674#note_245547", "Use parseInt with radix")</f>
        <v/>
      </c>
      <c r="L1370" t="inlineStr">
        <is>
          <t>2025-08-01 16:16:48.793 IST</t>
        </is>
      </c>
      <c r="M1370" t="inlineStr">
        <is>
          <t>Soundariya B</t>
        </is>
      </c>
      <c r="N1370" t="inlineStr">
        <is>
          <t>Yes</t>
        </is>
      </c>
      <c r="O1370" t="inlineStr">
        <is>
          <t>Yes</t>
        </is>
      </c>
      <c r="P1370" t="inlineStr">
        <is>
          <t>Soundariya B</t>
        </is>
      </c>
      <c r="Q1370" t="inlineStr">
        <is>
          <t>Bad</t>
        </is>
      </c>
    </row>
    <row r="1371">
      <c r="A1371" t="inlineStr">
        <is>
          <t>paritoshkumar.j</t>
        </is>
      </c>
      <c r="B1371" t="inlineStr">
        <is>
          <t>Paritosh Kumar Jha</t>
        </is>
      </c>
      <c r="C1371" t="inlineStr">
        <is>
          <t>paritoshkumar.j@osmosys.co</t>
        </is>
      </c>
      <c r="D1371" t="inlineStr">
        <is>
          <t>incident-reporter</t>
        </is>
      </c>
      <c r="E1371">
        <f>HYPERLINK("http://gitlab.osmosys.co/incident-reporter/incident-reporter-angular-portal", "OQSHA Portal")</f>
        <v/>
      </c>
      <c r="F1371">
        <f>HYPERLINK("http://gitlab.osmosys.co/incident-reporter/incident-reporter-angular-portal/-/merge_requests/3674", "feat: add safety alert customizations for ttk")</f>
        <v/>
      </c>
      <c r="G1371" t="inlineStr">
        <is>
          <t>feat/ttk-ticket-customization</t>
        </is>
      </c>
      <c r="H1371" t="inlineStr">
        <is>
          <t>sprint-19</t>
        </is>
      </c>
      <c r="I1371" t="inlineStr">
        <is>
          <t>merged</t>
        </is>
      </c>
      <c r="J1371" t="inlineStr">
        <is>
          <t>756448bb950ecbc21aed79690892e0213a2725de</t>
        </is>
      </c>
      <c r="K1371">
        <f>HYPERLINK("http://gitlab.osmosys.co/incident-reporter/incident-reporter-angular-portal/-/merge_requests/3674#note_245586", "It works the same way and is cleaner. No need for this. 
Could you please tell how parseInt is better in this case?")</f>
        <v/>
      </c>
      <c r="L1371" t="inlineStr">
        <is>
          <t>2025-08-01 16:40:19.559 IST</t>
        </is>
      </c>
      <c r="M1371" t="inlineStr">
        <is>
          <t>Paritosh Kumar Jha</t>
        </is>
      </c>
      <c r="N1371" t="inlineStr">
        <is>
          <t>No</t>
        </is>
      </c>
      <c r="O1371" t="inlineStr">
        <is>
          <t>Yes</t>
        </is>
      </c>
      <c r="P1371" t="inlineStr">
        <is>
          <t>Soundariya B</t>
        </is>
      </c>
      <c r="Q1371" t="inlineStr">
        <is>
          <t>Bad</t>
        </is>
      </c>
    </row>
    <row r="1372">
      <c r="A1372" t="inlineStr">
        <is>
          <t>paritoshkumar.j</t>
        </is>
      </c>
      <c r="B1372" t="inlineStr">
        <is>
          <t>Paritosh Kumar Jha</t>
        </is>
      </c>
      <c r="C1372" t="inlineStr">
        <is>
          <t>paritoshkumar.j@osmosys.co</t>
        </is>
      </c>
      <c r="D1372" t="inlineStr">
        <is>
          <t>incident-reporter</t>
        </is>
      </c>
      <c r="E1372">
        <f>HYPERLINK("http://gitlab.osmosys.co/incident-reporter/incident-reporter-angular-portal", "OQSHA Portal")</f>
        <v/>
      </c>
      <c r="F1372">
        <f>HYPERLINK("http://gitlab.osmosys.co/incident-reporter/incident-reporter-angular-portal/-/merge_requests/3674", "feat: add safety alert customizations for ttk")</f>
        <v/>
      </c>
      <c r="G1372" t="inlineStr">
        <is>
          <t>feat/ttk-ticket-customization</t>
        </is>
      </c>
      <c r="H1372" t="inlineStr">
        <is>
          <t>sprint-19</t>
        </is>
      </c>
      <c r="I1372" t="inlineStr">
        <is>
          <t>merged</t>
        </is>
      </c>
      <c r="J1372" t="inlineStr">
        <is>
          <t>756448bb950ecbc21aed79690892e0213a2725de</t>
        </is>
      </c>
      <c r="K1372">
        <f>HYPERLINK("http://gitlab.osmosys.co/incident-reporter/incident-reporter-angular-portal/-/merge_requests/3674#note_245822", "As per the Raj suggested to use parseInt instead of other while conversion and here is another proof why its better. Please do as suggested because I am following only what already told and following everywhere
![image](/uploads/4f901d1a670bcde9a9fb32449eb53635/image.png)")</f>
        <v/>
      </c>
      <c r="L1372" t="inlineStr">
        <is>
          <t>2025-08-01 19:45:51.635 IST</t>
        </is>
      </c>
      <c r="M1372" t="inlineStr">
        <is>
          <t>Soundariya B</t>
        </is>
      </c>
      <c r="N1372" t="inlineStr">
        <is>
          <t>Yes</t>
        </is>
      </c>
      <c r="O1372" t="inlineStr">
        <is>
          <t>Yes</t>
        </is>
      </c>
      <c r="P1372" t="inlineStr">
        <is>
          <t>Soundariya B</t>
        </is>
      </c>
      <c r="Q1372" t="inlineStr">
        <is>
          <t>Bad</t>
        </is>
      </c>
    </row>
    <row r="1373">
      <c r="A1373" t="inlineStr">
        <is>
          <t>paritoshkumar.j</t>
        </is>
      </c>
      <c r="B1373" t="inlineStr">
        <is>
          <t>Paritosh Kumar Jha</t>
        </is>
      </c>
      <c r="C1373" t="inlineStr">
        <is>
          <t>paritoshkumar.j@osmosys.co</t>
        </is>
      </c>
      <c r="D1373" t="inlineStr">
        <is>
          <t>incident-reporter</t>
        </is>
      </c>
      <c r="E1373">
        <f>HYPERLINK("http://gitlab.osmosys.co/incident-reporter/incident-reporter-angular-portal", "OQSHA Portal")</f>
        <v/>
      </c>
      <c r="F1373">
        <f>HYPERLINK("http://gitlab.osmosys.co/incident-reporter/incident-reporter-angular-portal/-/merge_requests/3674", "feat: add safety alert customizations for ttk")</f>
        <v/>
      </c>
      <c r="G1373" t="inlineStr">
        <is>
          <t>feat/ttk-ticket-customization</t>
        </is>
      </c>
      <c r="H1373" t="inlineStr">
        <is>
          <t>sprint-19</t>
        </is>
      </c>
      <c r="I1373" t="inlineStr">
        <is>
          <t>merged</t>
        </is>
      </c>
      <c r="J1373" t="inlineStr">
        <is>
          <t>756448bb950ecbc21aed79690892e0213a2725de</t>
        </is>
      </c>
      <c r="K1373">
        <f>HYPERLINK("http://gitlab.osmosys.co/incident-reporter/incident-reporter-angular-portal/-/merge_requests/3674#note_245861", "Updated")</f>
        <v/>
      </c>
      <c r="L1373" t="inlineStr">
        <is>
          <t>2025-08-01 20:03:20.119 IST</t>
        </is>
      </c>
      <c r="M1373" t="inlineStr">
        <is>
          <t>Paritosh Kumar Jha</t>
        </is>
      </c>
      <c r="N1373" t="inlineStr">
        <is>
          <t>No</t>
        </is>
      </c>
      <c r="O1373" t="inlineStr">
        <is>
          <t>Yes</t>
        </is>
      </c>
      <c r="P1373" t="inlineStr">
        <is>
          <t>Soundariya B</t>
        </is>
      </c>
      <c r="Q1373" t="inlineStr">
        <is>
          <t>Bad</t>
        </is>
      </c>
    </row>
    <row r="1374">
      <c r="A1374" t="inlineStr">
        <is>
          <t>paritoshkumar.j</t>
        </is>
      </c>
      <c r="B1374" t="inlineStr">
        <is>
          <t>Paritosh Kumar Jha</t>
        </is>
      </c>
      <c r="C1374" t="inlineStr">
        <is>
          <t>paritoshkumar.j@osmosys.co</t>
        </is>
      </c>
      <c r="D1374" t="inlineStr">
        <is>
          <t>incident-reporter</t>
        </is>
      </c>
      <c r="E1374">
        <f>HYPERLINK("http://gitlab.osmosys.co/incident-reporter/incident-reporter-angular-portal", "OQSHA Portal")</f>
        <v/>
      </c>
      <c r="F1374">
        <f>HYPERLINK("http://gitlab.osmosys.co/incident-reporter/incident-reporter-angular-portal/-/merge_requests/3674", "feat: add safety alert customizations for ttk")</f>
        <v/>
      </c>
      <c r="G1374" t="inlineStr">
        <is>
          <t>feat/ttk-ticket-customization</t>
        </is>
      </c>
      <c r="H1374" t="inlineStr">
        <is>
          <t>sprint-19</t>
        </is>
      </c>
      <c r="I1374" t="inlineStr">
        <is>
          <t>merged</t>
        </is>
      </c>
      <c r="J1374" t="inlineStr">
        <is>
          <t>756448bb950ecbc21aed79690892e0213a2725de</t>
        </is>
      </c>
      <c r="K1374">
        <f>HYPERLINK("http://gitlab.osmosys.co/incident-reporter/incident-reporter-angular-portal/-/merge_requests/3674#note_245862", "Earlier it was working without this only, I removed and updated this and tested it too. its not necessary now.")</f>
        <v/>
      </c>
      <c r="L1374" t="inlineStr">
        <is>
          <t>2025-08-01 20:04:58.060 IST</t>
        </is>
      </c>
      <c r="M1374" t="inlineStr">
        <is>
          <t>Paritosh Kumar Jha</t>
        </is>
      </c>
      <c r="N1374" t="inlineStr">
        <is>
          <t>No</t>
        </is>
      </c>
      <c r="O1374" t="inlineStr">
        <is>
          <t>Yes</t>
        </is>
      </c>
      <c r="P1374" t="inlineStr">
        <is>
          <t>Soundariya B</t>
        </is>
      </c>
      <c r="Q1374" t="inlineStr">
        <is>
          <t>Bad</t>
        </is>
      </c>
    </row>
    <row r="1375">
      <c r="A1375" t="inlineStr">
        <is>
          <t>paritoshkumar.j</t>
        </is>
      </c>
      <c r="B1375" t="inlineStr">
        <is>
          <t>Paritosh Kumar Jha</t>
        </is>
      </c>
      <c r="C1375" t="inlineStr">
        <is>
          <t>paritoshkumar.j@osmosys.co</t>
        </is>
      </c>
      <c r="D1375" t="inlineStr">
        <is>
          <t>incident-reporter</t>
        </is>
      </c>
      <c r="E1375">
        <f>HYPERLINK("http://gitlab.osmosys.co/incident-reporter/incident-reporter-angular-portal", "OQSHA Portal")</f>
        <v/>
      </c>
      <c r="F1375">
        <f>HYPERLINK("http://gitlab.osmosys.co/incident-reporter/incident-reporter-angular-portal/-/merge_requests/3674", "feat: add safety alert customizations for ttk")</f>
        <v/>
      </c>
      <c r="G1375" t="inlineStr">
        <is>
          <t>feat/ttk-ticket-customization</t>
        </is>
      </c>
      <c r="H1375" t="inlineStr">
        <is>
          <t>sprint-19</t>
        </is>
      </c>
      <c r="I1375" t="inlineStr">
        <is>
          <t>merged</t>
        </is>
      </c>
      <c r="J1375" t="inlineStr">
        <is>
          <t>a41f2c8ea346ff42e532d4dc4c6f28a9bcc01f0f</t>
        </is>
      </c>
      <c r="K1375">
        <f>HYPERLINK("http://gitlab.osmosys.co/incident-reporter/incident-reporter-angular-portal/-/merge_requests/3674#note_245548", "Cancel/Update buttons should be hidden once the ticket goes to "Assigned" status, so please return true only if the status is 'Assigned', not for other statuses. Means except Assigned status, for all other statuses, the action buttons will appear and be visible.
Please update the condition")</f>
        <v/>
      </c>
      <c r="L1375" t="inlineStr">
        <is>
          <t>2025-08-01 16:16:48.847 IST</t>
        </is>
      </c>
      <c r="M1375" t="inlineStr">
        <is>
          <t>Soundariya B</t>
        </is>
      </c>
      <c r="N1375" t="inlineStr">
        <is>
          <t>Yes</t>
        </is>
      </c>
      <c r="O1375" t="inlineStr">
        <is>
          <t>Yes</t>
        </is>
      </c>
      <c r="P1375" t="inlineStr">
        <is>
          <t>Soundariya B</t>
        </is>
      </c>
      <c r="Q1375" t="inlineStr">
        <is>
          <t>Bad</t>
        </is>
      </c>
    </row>
    <row r="1376">
      <c r="A1376" t="inlineStr">
        <is>
          <t>paritoshkumar.j</t>
        </is>
      </c>
      <c r="B1376" t="inlineStr">
        <is>
          <t>Paritosh Kumar Jha</t>
        </is>
      </c>
      <c r="C1376" t="inlineStr">
        <is>
          <t>paritoshkumar.j@osmosys.co</t>
        </is>
      </c>
      <c r="D1376" t="inlineStr">
        <is>
          <t>incident-reporter</t>
        </is>
      </c>
      <c r="E1376">
        <f>HYPERLINK("http://gitlab.osmosys.co/incident-reporter/incident-reporter-angular-portal", "OQSHA Portal")</f>
        <v/>
      </c>
      <c r="F1376">
        <f>HYPERLINK("http://gitlab.osmosys.co/incident-reporter/incident-reporter-angular-portal/-/merge_requests/3674", "feat: add safety alert customizations for ttk")</f>
        <v/>
      </c>
      <c r="G1376" t="inlineStr">
        <is>
          <t>feat/ttk-ticket-customization</t>
        </is>
      </c>
      <c r="H1376" t="inlineStr">
        <is>
          <t>sprint-19</t>
        </is>
      </c>
      <c r="I1376" t="inlineStr">
        <is>
          <t>merged</t>
        </is>
      </c>
      <c r="J1376" t="inlineStr">
        <is>
          <t>a41f2c8ea346ff42e532d4dc4c6f28a9bcc01f0f</t>
        </is>
      </c>
      <c r="K1376">
        <f>HYPERLINK("http://gitlab.osmosys.co/incident-reporter/incident-reporter-angular-portal/-/merge_requests/3674#note_245699", "The current implementation is correct, its confirmed with Raj")</f>
        <v/>
      </c>
      <c r="L1376" t="inlineStr">
        <is>
          <t>2025-08-01 18:22:27.117 IST</t>
        </is>
      </c>
      <c r="M1376" t="inlineStr">
        <is>
          <t>Paritosh Kumar Jha</t>
        </is>
      </c>
      <c r="N1376" t="inlineStr">
        <is>
          <t>No</t>
        </is>
      </c>
      <c r="O1376" t="inlineStr">
        <is>
          <t>Yes</t>
        </is>
      </c>
      <c r="P1376" t="inlineStr">
        <is>
          <t>Soundariya B</t>
        </is>
      </c>
      <c r="Q1376" t="inlineStr">
        <is>
          <t>Bad</t>
        </is>
      </c>
    </row>
    <row r="1377">
      <c r="A1377" t="inlineStr">
        <is>
          <t>paritoshkumar.j</t>
        </is>
      </c>
      <c r="B1377" t="inlineStr">
        <is>
          <t>Paritosh Kumar Jha</t>
        </is>
      </c>
      <c r="C1377" t="inlineStr">
        <is>
          <t>paritoshkumar.j@osmosys.co</t>
        </is>
      </c>
      <c r="D1377" t="inlineStr">
        <is>
          <t>incident-reporter</t>
        </is>
      </c>
      <c r="E1377">
        <f>HYPERLINK("http://gitlab.osmosys.co/incident-reporter/incident-reporter-angular-portal", "OQSHA Portal")</f>
        <v/>
      </c>
      <c r="F1377">
        <f>HYPERLINK("http://gitlab.osmosys.co/incident-reporter/incident-reporter-angular-portal/-/merge_requests/3674", "feat: add safety alert customizations for ttk")</f>
        <v/>
      </c>
      <c r="G1377" t="inlineStr">
        <is>
          <t>feat/ttk-ticket-customization</t>
        </is>
      </c>
      <c r="H1377" t="inlineStr">
        <is>
          <t>sprint-19</t>
        </is>
      </c>
      <c r="I1377" t="inlineStr">
        <is>
          <t>merged</t>
        </is>
      </c>
      <c r="J1377" t="inlineStr">
        <is>
          <t>a41f2c8ea346ff42e532d4dc4c6f28a9bcc01f0f</t>
        </is>
      </c>
      <c r="K1377">
        <f>HYPERLINK("http://gitlab.osmosys.co/incident-reporter/incident-reporter-angular-portal/-/merge_requests/3674#note_245832", "Can you add the SS please because I raised this thread as per the task description otherwise ask Raj to update task description because this logic is wrong as per task description as I already mentioned.")</f>
        <v/>
      </c>
      <c r="L1377" t="inlineStr">
        <is>
          <t>2025-08-01 19:50:23.838 IST</t>
        </is>
      </c>
      <c r="M1377" t="inlineStr">
        <is>
          <t>Soundariya B</t>
        </is>
      </c>
      <c r="N1377" t="inlineStr">
        <is>
          <t>Yes</t>
        </is>
      </c>
      <c r="O1377" t="inlineStr">
        <is>
          <t>Yes</t>
        </is>
      </c>
      <c r="P1377" t="inlineStr">
        <is>
          <t>Soundariya B</t>
        </is>
      </c>
      <c r="Q1377" t="inlineStr">
        <is>
          <t>Bad</t>
        </is>
      </c>
    </row>
    <row r="1378">
      <c r="A1378" t="inlineStr">
        <is>
          <t>paritoshkumar.j</t>
        </is>
      </c>
      <c r="B1378" t="inlineStr">
        <is>
          <t>Paritosh Kumar Jha</t>
        </is>
      </c>
      <c r="C1378" t="inlineStr">
        <is>
          <t>paritoshkumar.j@osmosys.co</t>
        </is>
      </c>
      <c r="D1378" t="inlineStr">
        <is>
          <t>incident-reporter</t>
        </is>
      </c>
      <c r="E1378">
        <f>HYPERLINK("http://gitlab.osmosys.co/incident-reporter/incident-reporter-angular-portal", "OQSHA Portal")</f>
        <v/>
      </c>
      <c r="F1378">
        <f>HYPERLINK("http://gitlab.osmosys.co/incident-reporter/incident-reporter-angular-portal/-/merge_requests/3674", "feat: add safety alert customizations for ttk")</f>
        <v/>
      </c>
      <c r="G1378" t="inlineStr">
        <is>
          <t>feat/ttk-ticket-customization</t>
        </is>
      </c>
      <c r="H1378" t="inlineStr">
        <is>
          <t>sprint-19</t>
        </is>
      </c>
      <c r="I1378" t="inlineStr">
        <is>
          <t>merged</t>
        </is>
      </c>
      <c r="J1378" t="inlineStr">
        <is>
          <t>a41f2c8ea346ff42e532d4dc4c6f28a9bcc01f0f</t>
        </is>
      </c>
      <c r="K1378">
        <f>HYPERLINK("http://gitlab.osmosys.co/incident-reporter/incident-reporter-angular-portal/-/merge_requests/3674#note_245850", "Could you please comment here @RajKumar  regarding task desc.")</f>
        <v/>
      </c>
      <c r="L1378" t="inlineStr">
        <is>
          <t>2025-08-01 19:54:21.291 IST</t>
        </is>
      </c>
      <c r="M1378" t="inlineStr">
        <is>
          <t>Paritosh Kumar Jha</t>
        </is>
      </c>
      <c r="N1378" t="inlineStr">
        <is>
          <t>No</t>
        </is>
      </c>
      <c r="O1378" t="inlineStr">
        <is>
          <t>Yes</t>
        </is>
      </c>
      <c r="P1378" t="inlineStr">
        <is>
          <t>Soundariya B</t>
        </is>
      </c>
      <c r="Q1378" t="inlineStr">
        <is>
          <t>Bad</t>
        </is>
      </c>
    </row>
    <row r="1379">
      <c r="A1379" t="inlineStr">
        <is>
          <t>paritoshkumar.j</t>
        </is>
      </c>
      <c r="B1379" t="inlineStr">
        <is>
          <t>Paritosh Kumar Jha</t>
        </is>
      </c>
      <c r="C1379" t="inlineStr">
        <is>
          <t>paritoshkumar.j@osmosys.co</t>
        </is>
      </c>
      <c r="D1379" t="inlineStr">
        <is>
          <t>incident-reporter</t>
        </is>
      </c>
      <c r="E1379">
        <f>HYPERLINK("http://gitlab.osmosys.co/incident-reporter/incident-reporter-angular-portal", "OQSHA Portal")</f>
        <v/>
      </c>
      <c r="F1379">
        <f>HYPERLINK("http://gitlab.osmosys.co/incident-reporter/incident-reporter-angular-portal/-/merge_requests/3674", "feat: add safety alert customizations for ttk")</f>
        <v/>
      </c>
      <c r="G1379" t="inlineStr">
        <is>
          <t>feat/ttk-ticket-customization</t>
        </is>
      </c>
      <c r="H1379" t="inlineStr">
        <is>
          <t>sprint-19</t>
        </is>
      </c>
      <c r="I1379" t="inlineStr">
        <is>
          <t>merged</t>
        </is>
      </c>
      <c r="J1379" t="inlineStr">
        <is>
          <t>a41f2c8ea346ff42e532d4dc4c6f28a9bcc01f0f</t>
        </is>
      </c>
      <c r="K1379">
        <f>HYPERLINK("http://gitlab.osmosys.co/incident-reporter/incident-reporter-angular-portal/-/merge_requests/3674#note_245888", "Once the ticket is assigned, from then we remove the buttons, not just for assigned status.")</f>
        <v/>
      </c>
      <c r="L1379" t="inlineStr">
        <is>
          <t>2025-08-01 21:03:29.273 IST</t>
        </is>
      </c>
      <c r="M1379" t="inlineStr">
        <is>
          <t>Raj Kumar</t>
        </is>
      </c>
      <c r="N1379" t="inlineStr">
        <is>
          <t>Yes</t>
        </is>
      </c>
      <c r="O1379" t="inlineStr">
        <is>
          <t>Yes</t>
        </is>
      </c>
      <c r="P1379" t="inlineStr">
        <is>
          <t>Soundariya B</t>
        </is>
      </c>
      <c r="Q1379" t="inlineStr">
        <is>
          <t>Bad</t>
        </is>
      </c>
    </row>
    <row r="1380">
      <c r="A1380" t="inlineStr">
        <is>
          <t>paritoshkumar.j</t>
        </is>
      </c>
      <c r="B1380" t="inlineStr">
        <is>
          <t>Paritosh Kumar Jha</t>
        </is>
      </c>
      <c r="C1380" t="inlineStr">
        <is>
          <t>paritoshkumar.j@osmosys.co</t>
        </is>
      </c>
      <c r="D1380" t="inlineStr">
        <is>
          <t>incident-reporter</t>
        </is>
      </c>
      <c r="E1380">
        <f>HYPERLINK("http://gitlab.osmosys.co/incident-reporter/incident-reporter-angular-portal", "OQSHA Portal")</f>
        <v/>
      </c>
      <c r="F1380">
        <f>HYPERLINK("http://gitlab.osmosys.co/incident-reporter/incident-reporter-angular-portal/-/merge_requests/3674", "feat: add safety alert customizations for ttk")</f>
        <v/>
      </c>
      <c r="G1380" t="inlineStr">
        <is>
          <t>feat/ttk-ticket-customization</t>
        </is>
      </c>
      <c r="H1380" t="inlineStr">
        <is>
          <t>sprint-19</t>
        </is>
      </c>
      <c r="I1380" t="inlineStr">
        <is>
          <t>merged</t>
        </is>
      </c>
      <c r="J1380" t="inlineStr">
        <is>
          <t>a41f2c8ea346ff42e532d4dc4c6f28a9bcc01f0f</t>
        </is>
      </c>
      <c r="K1380">
        <f>HYPERLINK("http://gitlab.osmosys.co/incident-reporter/incident-reporter-angular-portal/-/merge_requests/3674#note_245910", "As per Raj mentioned, the implementation is not correct fully
Why This Is Not Fully Correct
- It only hides buttons when the status is not OPEN.
- It does not check whether the ticket has been assigned.
- So if the ticket status is other open means resolved or re-open, then for these also you are removing the button
So you need to add the check for assigned one.")</f>
        <v/>
      </c>
      <c r="L1380" t="inlineStr">
        <is>
          <t>2025-08-02 00:32:51.587 IST</t>
        </is>
      </c>
      <c r="M1380" t="inlineStr">
        <is>
          <t>Soundariya B</t>
        </is>
      </c>
      <c r="N1380" t="inlineStr">
        <is>
          <t>Yes</t>
        </is>
      </c>
      <c r="O1380" t="inlineStr">
        <is>
          <t>Yes</t>
        </is>
      </c>
      <c r="P1380" t="inlineStr">
        <is>
          <t>Soundariya B</t>
        </is>
      </c>
      <c r="Q1380" t="inlineStr">
        <is>
          <t>Bad</t>
        </is>
      </c>
    </row>
    <row r="1381">
      <c r="A1381" t="inlineStr">
        <is>
          <t>paritoshkumar.j</t>
        </is>
      </c>
      <c r="B1381" t="inlineStr">
        <is>
          <t>Paritosh Kumar Jha</t>
        </is>
      </c>
      <c r="C1381" t="inlineStr">
        <is>
          <t>paritoshkumar.j@osmosys.co</t>
        </is>
      </c>
      <c r="D1381" t="inlineStr">
        <is>
          <t>incident-reporter</t>
        </is>
      </c>
      <c r="E1381">
        <f>HYPERLINK("http://gitlab.osmosys.co/incident-reporter/incident-reporter-angular-portal", "OQSHA Portal")</f>
        <v/>
      </c>
      <c r="F1381">
        <f>HYPERLINK("http://gitlab.osmosys.co/incident-reporter/incident-reporter-angular-portal/-/merge_requests/3674", "feat: add safety alert customizations for ttk")</f>
        <v/>
      </c>
      <c r="G1381" t="inlineStr">
        <is>
          <t>feat/ttk-ticket-customization</t>
        </is>
      </c>
      <c r="H1381" t="inlineStr">
        <is>
          <t>sprint-19</t>
        </is>
      </c>
      <c r="I1381" t="inlineStr">
        <is>
          <t>merged</t>
        </is>
      </c>
      <c r="J1381" t="inlineStr">
        <is>
          <t>a41f2c8ea346ff42e532d4dc4c6f28a9bcc01f0f</t>
        </is>
      </c>
      <c r="K1381">
        <f>HYPERLINK("http://gitlab.osmosys.co/incident-reporter/incident-reporter-angular-portal/-/merge_requests/3674#note_246020", "The done implementation is correct and tested.
Why this is correct ?
* As per task the buttons should be hidden as soon as ticket is assigned - as we are allowing ticket editing only in open state. The user can only go to assigned or rejected status from open - in both of these states the ticket can't be edited
* It does not need to check for assigned status - once the ticket is assigned the ticket can never go OPEN status and can never be edited again. Even when the ticket is re open - it goes to assigned to status only.
* So all in all - the buttons should be hidden when the ticket is not in OPEN")</f>
        <v/>
      </c>
      <c r="L1381" t="inlineStr">
        <is>
          <t>2025-08-02 10:32:02.315 IST</t>
        </is>
      </c>
      <c r="M1381" t="inlineStr">
        <is>
          <t>Paritosh Kumar Jha</t>
        </is>
      </c>
      <c r="N1381" t="inlineStr">
        <is>
          <t>No</t>
        </is>
      </c>
      <c r="O1381" t="inlineStr">
        <is>
          <t>Yes</t>
        </is>
      </c>
      <c r="P1381" t="inlineStr">
        <is>
          <t>Soundariya B</t>
        </is>
      </c>
      <c r="Q1381" t="inlineStr">
        <is>
          <t>Bad</t>
        </is>
      </c>
    </row>
    <row r="1382">
      <c r="A1382" t="inlineStr">
        <is>
          <t>paritoshkumar.j</t>
        </is>
      </c>
      <c r="B1382" t="inlineStr">
        <is>
          <t>Paritosh Kumar Jha</t>
        </is>
      </c>
      <c r="C1382" t="inlineStr">
        <is>
          <t>paritoshkumar.j@osmosys.co</t>
        </is>
      </c>
      <c r="D1382" t="inlineStr">
        <is>
          <t>incident-reporter</t>
        </is>
      </c>
      <c r="E1382">
        <f>HYPERLINK("http://gitlab.osmosys.co/incident-reporter/incident-reporter-angular-portal", "OQSHA Portal")</f>
        <v/>
      </c>
      <c r="F1382">
        <f>HYPERLINK("http://gitlab.osmosys.co/incident-reporter/incident-reporter-angular-portal/-/merge_requests/3674", "feat: add safety alert customizations for ttk")</f>
        <v/>
      </c>
      <c r="G1382" t="inlineStr">
        <is>
          <t>feat/ttk-ticket-customization</t>
        </is>
      </c>
      <c r="H1382" t="inlineStr">
        <is>
          <t>sprint-19</t>
        </is>
      </c>
      <c r="I1382" t="inlineStr">
        <is>
          <t>merged</t>
        </is>
      </c>
      <c r="J1382" t="inlineStr">
        <is>
          <t>a41f2c8ea346ff42e532d4dc4c6f28a9bcc01f0f</t>
        </is>
      </c>
      <c r="K1382">
        <f>HYPERLINK("http://gitlab.osmosys.co/incident-reporter/incident-reporter-angular-portal/-/merge_requests/3674#note_246118", "Ok got it and agreed with explanation")</f>
        <v/>
      </c>
      <c r="L1382" t="inlineStr">
        <is>
          <t>2025-08-02 12:29:59.375 IST</t>
        </is>
      </c>
      <c r="M1382" t="inlineStr">
        <is>
          <t>Soundariya B</t>
        </is>
      </c>
      <c r="N1382" t="inlineStr">
        <is>
          <t>Yes</t>
        </is>
      </c>
      <c r="O1382" t="inlineStr">
        <is>
          <t>Yes</t>
        </is>
      </c>
      <c r="P1382" t="inlineStr">
        <is>
          <t>Soundariya B</t>
        </is>
      </c>
      <c r="Q1382" t="inlineStr">
        <is>
          <t>Bad</t>
        </is>
      </c>
    </row>
    <row r="1383">
      <c r="A1383" t="inlineStr">
        <is>
          <t>paritoshkumar.j</t>
        </is>
      </c>
      <c r="B1383" t="inlineStr">
        <is>
          <t>Paritosh Kumar Jha</t>
        </is>
      </c>
      <c r="C1383" t="inlineStr">
        <is>
          <t>paritoshkumar.j@osmosys.co</t>
        </is>
      </c>
      <c r="D1383" t="inlineStr">
        <is>
          <t>incident-reporter</t>
        </is>
      </c>
      <c r="E1383">
        <f>HYPERLINK("http://gitlab.osmosys.co/incident-reporter/incident-reporter-angular-portal", "OQSHA Portal")</f>
        <v/>
      </c>
      <c r="F1383">
        <f>HYPERLINK("http://gitlab.osmosys.co/incident-reporter/incident-reporter-angular-portal/-/merge_requests/3667", "Draft: feat: add moc status buttons")</f>
        <v/>
      </c>
      <c r="G1383" t="inlineStr">
        <is>
          <t>feat/moc-status-btns</t>
        </is>
      </c>
      <c r="H1383" t="inlineStr">
        <is>
          <t>sprint-18</t>
        </is>
      </c>
      <c r="I1383" t="inlineStr">
        <is>
          <t>opened</t>
        </is>
      </c>
      <c r="J1383" t="inlineStr"/>
      <c r="K1383" t="inlineStr"/>
      <c r="L1383" t="inlineStr"/>
      <c r="M1383" t="inlineStr"/>
      <c r="N1383" t="inlineStr"/>
      <c r="O1383" t="inlineStr"/>
      <c r="P1383" t="inlineStr"/>
      <c r="Q1383" t="inlineStr"/>
    </row>
    <row r="1384">
      <c r="A1384" t="inlineStr">
        <is>
          <t>paritoshkumar.j</t>
        </is>
      </c>
      <c r="B1384" t="inlineStr">
        <is>
          <t>Paritosh Kumar Jha</t>
        </is>
      </c>
      <c r="C1384" t="inlineStr">
        <is>
          <t>paritoshkumar.j@osmosys.co</t>
        </is>
      </c>
      <c r="D1384" t="inlineStr">
        <is>
          <t>incident-reporter</t>
        </is>
      </c>
      <c r="E1384">
        <f>HYPERLINK("http://gitlab.osmosys.co/incident-reporter/incident-reporter-angular-portal", "OQSHA Portal")</f>
        <v/>
      </c>
      <c r="F1384">
        <f>HYPERLINK("http://gitlab.osmosys.co/incident-reporter/incident-reporter-angular-portal/-/merge_requests/3647", "fix: update incident assignment logic and dropdown settings")</f>
        <v/>
      </c>
      <c r="G1384" t="inlineStr">
        <is>
          <t>fix/update-btn-condition</t>
        </is>
      </c>
      <c r="H1384" t="inlineStr">
        <is>
          <t>sprint-18</t>
        </is>
      </c>
      <c r="I1384" t="inlineStr">
        <is>
          <t>merged</t>
        </is>
      </c>
      <c r="J1384" t="inlineStr"/>
      <c r="K1384" t="inlineStr"/>
      <c r="L1384" t="inlineStr"/>
      <c r="M1384" t="inlineStr"/>
      <c r="N1384" t="inlineStr"/>
      <c r="O1384" t="inlineStr"/>
      <c r="P1384" t="inlineStr"/>
      <c r="Q1384" t="inlineStr"/>
    </row>
    <row r="1385">
      <c r="A1385" t="inlineStr">
        <is>
          <t>paritoshkumar.j</t>
        </is>
      </c>
      <c r="B1385" t="inlineStr">
        <is>
          <t>Paritosh Kumar Jha</t>
        </is>
      </c>
      <c r="C1385" t="inlineStr">
        <is>
          <t>paritoshkumar.j@osmosys.co</t>
        </is>
      </c>
      <c r="D1385" t="inlineStr">
        <is>
          <t>incident-reporter</t>
        </is>
      </c>
      <c r="E1385">
        <f>HYPERLINK("http://gitlab.osmosys.co/incident-reporter/incident-reporter-angular-portal", "OQSHA Portal")</f>
        <v/>
      </c>
      <c r="F1385">
        <f>HYPERLINK("http://gitlab.osmosys.co/incident-reporter/incident-reporter-angular-portal/-/merge_requests/3635", "fix: update site lat long and ticket update issue")</f>
        <v/>
      </c>
      <c r="G1385" t="inlineStr">
        <is>
          <t>fix/add-edit-tickets</t>
        </is>
      </c>
      <c r="H1385" t="inlineStr">
        <is>
          <t>sprint-18</t>
        </is>
      </c>
      <c r="I1385" t="inlineStr">
        <is>
          <t>merged</t>
        </is>
      </c>
      <c r="J1385" t="inlineStr"/>
      <c r="K1385" t="inlineStr"/>
      <c r="L1385" t="inlineStr"/>
      <c r="M1385" t="inlineStr"/>
      <c r="N1385" t="inlineStr"/>
      <c r="O1385" t="inlineStr"/>
      <c r="P1385" t="inlineStr"/>
      <c r="Q1385" t="inlineStr"/>
    </row>
    <row r="1386">
      <c r="A1386" t="inlineStr">
        <is>
          <t>paritoshkumar.j</t>
        </is>
      </c>
      <c r="B1386" t="inlineStr">
        <is>
          <t>Paritosh Kumar Jha</t>
        </is>
      </c>
      <c r="C1386" t="inlineStr">
        <is>
          <t>paritoshkumar.j@osmosys.co</t>
        </is>
      </c>
      <c r="D1386" t="inlineStr">
        <is>
          <t>incident-reporter</t>
        </is>
      </c>
      <c r="E1386">
        <f>HYPERLINK("http://gitlab.osmosys.co/incident-reporter/incident-reporter-angular-portal", "OQSHA Portal")</f>
        <v/>
      </c>
      <c r="F1386">
        <f>HYPERLINK("http://gitlab.osmosys.co/incident-reporter/incident-reporter-angular-portal/-/merge_requests/3607", "feat: add status buttons for ticket status")</f>
        <v/>
      </c>
      <c r="G1386" t="inlineStr">
        <is>
          <t>feat/ttk-ticket-status-btns</t>
        </is>
      </c>
      <c r="H1386" t="inlineStr">
        <is>
          <t>sprint-18</t>
        </is>
      </c>
      <c r="I1386" t="inlineStr">
        <is>
          <t>merged</t>
        </is>
      </c>
      <c r="J1386" t="inlineStr">
        <is>
          <t>be2fa8f3e9d3e5a55eb54f812b1d6f4b37cb8bfd</t>
        </is>
      </c>
      <c r="K1386">
        <f>HYPERLINK("http://gitlab.osmosys.co/incident-reporter/incident-reporter-angular-portal/-/merge_requests/3607#note_242551", "No Screenshot and no testcase")</f>
        <v/>
      </c>
      <c r="L1386" t="inlineStr">
        <is>
          <t>2025-07-27 11:57:54.958 IST</t>
        </is>
      </c>
      <c r="M1386" t="inlineStr">
        <is>
          <t>Soundariya B</t>
        </is>
      </c>
      <c r="N1386" t="inlineStr">
        <is>
          <t>Yes</t>
        </is>
      </c>
      <c r="O1386" t="inlineStr">
        <is>
          <t>Yes</t>
        </is>
      </c>
      <c r="P1386" t="inlineStr">
        <is>
          <t>Soundariya B</t>
        </is>
      </c>
      <c r="Q1386" t="inlineStr">
        <is>
          <t>Bad</t>
        </is>
      </c>
    </row>
    <row r="1387">
      <c r="A1387" t="inlineStr">
        <is>
          <t>paritoshkumar.j</t>
        </is>
      </c>
      <c r="B1387" t="inlineStr">
        <is>
          <t>Paritosh Kumar Jha</t>
        </is>
      </c>
      <c r="C1387" t="inlineStr">
        <is>
          <t>paritoshkumar.j@osmosys.co</t>
        </is>
      </c>
      <c r="D1387" t="inlineStr">
        <is>
          <t>incident-reporter</t>
        </is>
      </c>
      <c r="E1387">
        <f>HYPERLINK("http://gitlab.osmosys.co/incident-reporter/incident-reporter-angular-portal", "OQSHA Portal")</f>
        <v/>
      </c>
      <c r="F1387">
        <f>HYPERLINK("http://gitlab.osmosys.co/incident-reporter/incident-reporter-angular-portal/-/merge_requests/3607", "feat: add status buttons for ticket status")</f>
        <v/>
      </c>
      <c r="G1387" t="inlineStr">
        <is>
          <t>feat/ttk-ticket-status-btns</t>
        </is>
      </c>
      <c r="H1387" t="inlineStr">
        <is>
          <t>sprint-18</t>
        </is>
      </c>
      <c r="I1387" t="inlineStr">
        <is>
          <t>merged</t>
        </is>
      </c>
      <c r="J1387" t="inlineStr">
        <is>
          <t>0fa4c68ef838c9db6d47191a187b7b58002698d7</t>
        </is>
      </c>
      <c r="K1387">
        <f>HYPERLINK("http://gitlab.osmosys.co/incident-reporter/incident-reporter-angular-portal/-/merge_requests/3607#note_242552", "Don't remove this because of these other bugs already created for the dropdown misplacement - fix it in other places")</f>
        <v/>
      </c>
      <c r="L1387" t="inlineStr">
        <is>
          <t>2025-07-27 11:57:55.037 IST</t>
        </is>
      </c>
      <c r="M1387" t="inlineStr">
        <is>
          <t>Soundariya B</t>
        </is>
      </c>
      <c r="N1387" t="inlineStr">
        <is>
          <t>Yes</t>
        </is>
      </c>
      <c r="O1387" t="inlineStr">
        <is>
          <t>Yes</t>
        </is>
      </c>
      <c r="P1387" t="inlineStr">
        <is>
          <t>Soundariya B</t>
        </is>
      </c>
      <c r="Q1387" t="inlineStr">
        <is>
          <t>Bad</t>
        </is>
      </c>
    </row>
    <row r="1388">
      <c r="A1388" t="inlineStr">
        <is>
          <t>paritoshkumar.j</t>
        </is>
      </c>
      <c r="B1388" t="inlineStr">
        <is>
          <t>Paritosh Kumar Jha</t>
        </is>
      </c>
      <c r="C1388" t="inlineStr">
        <is>
          <t>paritoshkumar.j@osmosys.co</t>
        </is>
      </c>
      <c r="D1388" t="inlineStr">
        <is>
          <t>incident-reporter</t>
        </is>
      </c>
      <c r="E1388">
        <f>HYPERLINK("http://gitlab.osmosys.co/incident-reporter/incident-reporter-angular-portal", "OQSHA Portal")</f>
        <v/>
      </c>
      <c r="F1388">
        <f>HYPERLINK("http://gitlab.osmosys.co/incident-reporter/incident-reporter-angular-portal/-/merge_requests/3607", "feat: add status buttons for ticket status")</f>
        <v/>
      </c>
      <c r="G1388" t="inlineStr">
        <is>
          <t>feat/ttk-ticket-status-btns</t>
        </is>
      </c>
      <c r="H1388" t="inlineStr">
        <is>
          <t>sprint-18</t>
        </is>
      </c>
      <c r="I1388" t="inlineStr">
        <is>
          <t>merged</t>
        </is>
      </c>
      <c r="J1388" t="inlineStr">
        <is>
          <t>0fa4c68ef838c9db6d47191a187b7b58002698d7</t>
        </is>
      </c>
      <c r="K1388">
        <f>HYPERLINK("http://gitlab.osmosys.co/incident-reporter/incident-reporter-angular-portal/-/merge_requests/3607#note_242747", "It was added as duplicates in some PRs, so had to remove it. It seems someone removed other tagToBody also, I'll add it in this PR.")</f>
        <v/>
      </c>
      <c r="L1388" t="inlineStr">
        <is>
          <t>2025-07-28 10:54:47.429 IST</t>
        </is>
      </c>
      <c r="M1388" t="inlineStr">
        <is>
          <t>Paritosh Kumar Jha</t>
        </is>
      </c>
      <c r="N1388" t="inlineStr">
        <is>
          <t>No</t>
        </is>
      </c>
      <c r="O1388" t="inlineStr">
        <is>
          <t>Yes</t>
        </is>
      </c>
      <c r="P1388" t="inlineStr">
        <is>
          <t>Soundariya B</t>
        </is>
      </c>
      <c r="Q1388" t="inlineStr">
        <is>
          <t>Bad</t>
        </is>
      </c>
    </row>
    <row r="1389">
      <c r="A1389" t="inlineStr">
        <is>
          <t>paritoshkumar.j</t>
        </is>
      </c>
      <c r="B1389" t="inlineStr">
        <is>
          <t>Paritosh Kumar Jha</t>
        </is>
      </c>
      <c r="C1389" t="inlineStr">
        <is>
          <t>paritoshkumar.j@osmosys.co</t>
        </is>
      </c>
      <c r="D1389" t="inlineStr">
        <is>
          <t>incident-reporter</t>
        </is>
      </c>
      <c r="E1389">
        <f>HYPERLINK("http://gitlab.osmosys.co/incident-reporter/incident-reporter-angular-portal", "OQSHA Portal")</f>
        <v/>
      </c>
      <c r="F1389">
        <f>HYPERLINK("http://gitlab.osmosys.co/incident-reporter/incident-reporter-angular-portal/-/merge_requests/3607", "feat: add status buttons for ticket status")</f>
        <v/>
      </c>
      <c r="G1389" t="inlineStr">
        <is>
          <t>feat/ttk-ticket-status-btns</t>
        </is>
      </c>
      <c r="H1389" t="inlineStr">
        <is>
          <t>sprint-18</t>
        </is>
      </c>
      <c r="I1389" t="inlineStr">
        <is>
          <t>merged</t>
        </is>
      </c>
      <c r="J1389" t="inlineStr">
        <is>
          <t>bcdb03ff04dd257385bdae0e106f43fac8f9a994</t>
        </is>
      </c>
      <c r="K1389">
        <f>HYPERLINK("http://gitlab.osmosys.co/incident-reporter/incident-reporter-angular-portal/-/merge_requests/3607#note_242554", "Get the labels or text from lang file as its showing on UI
One question - what if the ticket itself in open state at initial stage then it should be Open right not re-open?")</f>
        <v/>
      </c>
      <c r="L1389" t="inlineStr">
        <is>
          <t>2025-07-27 11:57:55.188 IST</t>
        </is>
      </c>
      <c r="M1389" t="inlineStr">
        <is>
          <t>Soundariya B</t>
        </is>
      </c>
      <c r="N1389" t="inlineStr">
        <is>
          <t>Yes</t>
        </is>
      </c>
      <c r="O1389" t="inlineStr">
        <is>
          <t>Yes</t>
        </is>
      </c>
      <c r="P1389" t="inlineStr">
        <is>
          <t>Soundariya B</t>
        </is>
      </c>
      <c r="Q1389" t="inlineStr">
        <is>
          <t>Neutral</t>
        </is>
      </c>
    </row>
    <row r="1390">
      <c r="A1390" t="inlineStr">
        <is>
          <t>paritoshkumar.j</t>
        </is>
      </c>
      <c r="B1390" t="inlineStr">
        <is>
          <t>Paritosh Kumar Jha</t>
        </is>
      </c>
      <c r="C1390" t="inlineStr">
        <is>
          <t>paritoshkumar.j@osmosys.co</t>
        </is>
      </c>
      <c r="D1390" t="inlineStr">
        <is>
          <t>incident-reporter</t>
        </is>
      </c>
      <c r="E1390">
        <f>HYPERLINK("http://gitlab.osmosys.co/incident-reporter/incident-reporter-angular-portal", "OQSHA Portal")</f>
        <v/>
      </c>
      <c r="F1390">
        <f>HYPERLINK("http://gitlab.osmosys.co/incident-reporter/incident-reporter-angular-portal/-/merge_requests/3607", "feat: add status buttons for ticket status")</f>
        <v/>
      </c>
      <c r="G1390" t="inlineStr">
        <is>
          <t>feat/ttk-ticket-status-btns</t>
        </is>
      </c>
      <c r="H1390" t="inlineStr">
        <is>
          <t>sprint-18</t>
        </is>
      </c>
      <c r="I1390" t="inlineStr">
        <is>
          <t>merged</t>
        </is>
      </c>
      <c r="J1390" t="inlineStr">
        <is>
          <t>bcdb03ff04dd257385bdae0e106f43fac8f9a994</t>
        </is>
      </c>
      <c r="K1390">
        <f>HYPERLINK("http://gitlab.osmosys.co/incident-reporter/incident-reporter-angular-portal/-/merge_requests/3607#note_242749", "The status that are used here will be coming from the api response and hence wont be translated every time. So translating just the 'Re-open' text will be inconsistent. I will be adding other status form constants - will take this from there too.")</f>
        <v/>
      </c>
      <c r="L1390" t="inlineStr">
        <is>
          <t>2025-07-28 11:00:53.338 IST</t>
        </is>
      </c>
      <c r="M1390" t="inlineStr">
        <is>
          <t>Paritosh Kumar Jha</t>
        </is>
      </c>
      <c r="N1390" t="inlineStr">
        <is>
          <t>No</t>
        </is>
      </c>
      <c r="O1390" t="inlineStr">
        <is>
          <t>Yes</t>
        </is>
      </c>
      <c r="P1390" t="inlineStr">
        <is>
          <t>Soundariya B</t>
        </is>
      </c>
      <c r="Q1390" t="inlineStr">
        <is>
          <t>Neutral</t>
        </is>
      </c>
    </row>
    <row r="1391">
      <c r="A1391" t="inlineStr">
        <is>
          <t>paritoshkumar.j</t>
        </is>
      </c>
      <c r="B1391" t="inlineStr">
        <is>
          <t>Paritosh Kumar Jha</t>
        </is>
      </c>
      <c r="C1391" t="inlineStr">
        <is>
          <t>paritoshkumar.j@osmosys.co</t>
        </is>
      </c>
      <c r="D1391" t="inlineStr">
        <is>
          <t>incident-reporter</t>
        </is>
      </c>
      <c r="E1391">
        <f>HYPERLINK("http://gitlab.osmosys.co/incident-reporter/incident-reporter-angular-portal", "OQSHA Portal")</f>
        <v/>
      </c>
      <c r="F1391">
        <f>HYPERLINK("http://gitlab.osmosys.co/incident-reporter/incident-reporter-angular-portal/-/merge_requests/3607", "feat: add status buttons for ticket status")</f>
        <v/>
      </c>
      <c r="G1391" t="inlineStr">
        <is>
          <t>feat/ttk-ticket-status-btns</t>
        </is>
      </c>
      <c r="H1391" t="inlineStr">
        <is>
          <t>sprint-18</t>
        </is>
      </c>
      <c r="I1391" t="inlineStr">
        <is>
          <t>merged</t>
        </is>
      </c>
      <c r="J1391" t="inlineStr">
        <is>
          <t>e02a945d3f0f76b91151a0ec32572a7a75535282</t>
        </is>
      </c>
      <c r="K1391">
        <f>HYPERLINK("http://gitlab.osmosys.co/incident-reporter/incident-reporter-angular-portal/-/merge_requests/3607#note_242556", "Declare the datatype")</f>
        <v/>
      </c>
      <c r="L1391" t="inlineStr">
        <is>
          <t>2025-07-27 11:57:55.342 IST</t>
        </is>
      </c>
      <c r="M1391" t="inlineStr">
        <is>
          <t>Soundariya B</t>
        </is>
      </c>
      <c r="N1391" t="inlineStr">
        <is>
          <t>Yes</t>
        </is>
      </c>
      <c r="O1391" t="inlineStr">
        <is>
          <t>Yes</t>
        </is>
      </c>
      <c r="P1391" t="inlineStr">
        <is>
          <t>Soundariya B</t>
        </is>
      </c>
      <c r="Q1391" t="inlineStr">
        <is>
          <t>Bad</t>
        </is>
      </c>
    </row>
    <row r="1392">
      <c r="A1392" t="inlineStr">
        <is>
          <t>paritoshkumar.j</t>
        </is>
      </c>
      <c r="B1392" t="inlineStr">
        <is>
          <t>Paritosh Kumar Jha</t>
        </is>
      </c>
      <c r="C1392" t="inlineStr">
        <is>
          <t>paritoshkumar.j@osmosys.co</t>
        </is>
      </c>
      <c r="D1392" t="inlineStr">
        <is>
          <t>incident-reporter</t>
        </is>
      </c>
      <c r="E1392">
        <f>HYPERLINK("http://gitlab.osmosys.co/incident-reporter/incident-reporter-angular-portal", "OQSHA Portal")</f>
        <v/>
      </c>
      <c r="F1392">
        <f>HYPERLINK("http://gitlab.osmosys.co/incident-reporter/incident-reporter-angular-portal/-/merge_requests/3607", "feat: add status buttons for ticket status")</f>
        <v/>
      </c>
      <c r="G1392" t="inlineStr">
        <is>
          <t>feat/ttk-ticket-status-btns</t>
        </is>
      </c>
      <c r="H1392" t="inlineStr">
        <is>
          <t>sprint-18</t>
        </is>
      </c>
      <c r="I1392" t="inlineStr">
        <is>
          <t>merged</t>
        </is>
      </c>
      <c r="J1392" t="inlineStr">
        <is>
          <t>e02a945d3f0f76b91151a0ec32572a7a75535282</t>
        </is>
      </c>
      <c r="K1392">
        <f>HYPERLINK("http://gitlab.osmosys.co/incident-reporter/incident-reporter-angular-portal/-/merge_requests/3607#note_242751", "Updated")</f>
        <v/>
      </c>
      <c r="L1392" t="inlineStr">
        <is>
          <t>2025-07-28 11:06:41.437 IST</t>
        </is>
      </c>
      <c r="M1392" t="inlineStr">
        <is>
          <t>Paritosh Kumar Jha</t>
        </is>
      </c>
      <c r="N1392" t="inlineStr">
        <is>
          <t>No</t>
        </is>
      </c>
      <c r="O1392" t="inlineStr">
        <is>
          <t>Yes</t>
        </is>
      </c>
      <c r="P1392" t="inlineStr">
        <is>
          <t>Soundariya B</t>
        </is>
      </c>
      <c r="Q1392" t="inlineStr">
        <is>
          <t>Bad</t>
        </is>
      </c>
    </row>
    <row r="1393">
      <c r="A1393" t="inlineStr">
        <is>
          <t>paritoshkumar.j</t>
        </is>
      </c>
      <c r="B1393" t="inlineStr">
        <is>
          <t>Paritosh Kumar Jha</t>
        </is>
      </c>
      <c r="C1393" t="inlineStr">
        <is>
          <t>paritoshkumar.j@osmosys.co</t>
        </is>
      </c>
      <c r="D1393" t="inlineStr">
        <is>
          <t>incident-reporter</t>
        </is>
      </c>
      <c r="E1393">
        <f>HYPERLINK("http://gitlab.osmosys.co/incident-reporter/incident-reporter-angular-portal", "OQSHA Portal")</f>
        <v/>
      </c>
      <c r="F1393">
        <f>HYPERLINK("http://gitlab.osmosys.co/incident-reporter/incident-reporter-angular-portal/-/merge_requests/3607", "feat: add status buttons for ticket status")</f>
        <v/>
      </c>
      <c r="G1393" t="inlineStr">
        <is>
          <t>feat/ttk-ticket-status-btns</t>
        </is>
      </c>
      <c r="H1393" t="inlineStr">
        <is>
          <t>sprint-18</t>
        </is>
      </c>
      <c r="I1393" t="inlineStr">
        <is>
          <t>merged</t>
        </is>
      </c>
      <c r="J1393" t="inlineStr">
        <is>
          <t>2592075fef1f45a10ce6f9d994291e9d8f7e34cd</t>
        </is>
      </c>
      <c r="K1393">
        <f>HYPERLINK("http://gitlab.osmosys.co/incident-reporter/incident-reporter-angular-portal/-/merge_requests/3607#note_242557", "Remove this")</f>
        <v/>
      </c>
      <c r="L1393" t="inlineStr">
        <is>
          <t>2025-07-27 11:57:55.397 IST</t>
        </is>
      </c>
      <c r="M1393" t="inlineStr">
        <is>
          <t>Soundariya B</t>
        </is>
      </c>
      <c r="N1393" t="inlineStr">
        <is>
          <t>Yes</t>
        </is>
      </c>
      <c r="O1393" t="inlineStr">
        <is>
          <t>Yes</t>
        </is>
      </c>
      <c r="P1393" t="inlineStr">
        <is>
          <t>Soundariya B</t>
        </is>
      </c>
      <c r="Q1393" t="inlineStr">
        <is>
          <t>Bad</t>
        </is>
      </c>
    </row>
    <row r="1394">
      <c r="A1394" t="inlineStr">
        <is>
          <t>paritoshkumar.j</t>
        </is>
      </c>
      <c r="B1394" t="inlineStr">
        <is>
          <t>Paritosh Kumar Jha</t>
        </is>
      </c>
      <c r="C1394" t="inlineStr">
        <is>
          <t>paritoshkumar.j@osmosys.co</t>
        </is>
      </c>
      <c r="D1394" t="inlineStr">
        <is>
          <t>incident-reporter</t>
        </is>
      </c>
      <c r="E1394">
        <f>HYPERLINK("http://gitlab.osmosys.co/incident-reporter/incident-reporter-angular-portal", "OQSHA Portal")</f>
        <v/>
      </c>
      <c r="F1394">
        <f>HYPERLINK("http://gitlab.osmosys.co/incident-reporter/incident-reporter-angular-portal/-/merge_requests/3607", "feat: add status buttons for ticket status")</f>
        <v/>
      </c>
      <c r="G1394" t="inlineStr">
        <is>
          <t>feat/ttk-ticket-status-btns</t>
        </is>
      </c>
      <c r="H1394" t="inlineStr">
        <is>
          <t>sprint-18</t>
        </is>
      </c>
      <c r="I1394" t="inlineStr">
        <is>
          <t>merged</t>
        </is>
      </c>
      <c r="J1394" t="inlineStr">
        <is>
          <t>2592075fef1f45a10ce6f9d994291e9d8f7e34cd</t>
        </is>
      </c>
      <c r="K1394">
        <f>HYPERLINK("http://gitlab.osmosys.co/incident-reporter/incident-reporter-angular-portal/-/merge_requests/3607#note_242755", "Updated")</f>
        <v/>
      </c>
      <c r="L1394" t="inlineStr">
        <is>
          <t>2025-07-28 11:08:31.659 IST</t>
        </is>
      </c>
      <c r="M1394" t="inlineStr">
        <is>
          <t>Paritosh Kumar Jha</t>
        </is>
      </c>
      <c r="N1394" t="inlineStr">
        <is>
          <t>No</t>
        </is>
      </c>
      <c r="O1394" t="inlineStr">
        <is>
          <t>Yes</t>
        </is>
      </c>
      <c r="P1394" t="inlineStr">
        <is>
          <t>Soundariya B</t>
        </is>
      </c>
      <c r="Q1394" t="inlineStr">
        <is>
          <t>Bad</t>
        </is>
      </c>
    </row>
    <row r="1395">
      <c r="A1395" t="inlineStr">
        <is>
          <t>paritoshkumar.j</t>
        </is>
      </c>
      <c r="B1395" t="inlineStr">
        <is>
          <t>Paritosh Kumar Jha</t>
        </is>
      </c>
      <c r="C1395" t="inlineStr">
        <is>
          <t>paritoshkumar.j@osmosys.co</t>
        </is>
      </c>
      <c r="D1395" t="inlineStr">
        <is>
          <t>incident-reporter</t>
        </is>
      </c>
      <c r="E1395">
        <f>HYPERLINK("http://gitlab.osmosys.co/incident-reporter/incident-reporter-angular-portal", "OQSHA Portal")</f>
        <v/>
      </c>
      <c r="F1395">
        <f>HYPERLINK("http://gitlab.osmosys.co/incident-reporter/incident-reporter-angular-portal/-/merge_requests/3607", "feat: add status buttons for ticket status")</f>
        <v/>
      </c>
      <c r="G1395" t="inlineStr">
        <is>
          <t>feat/ttk-ticket-status-btns</t>
        </is>
      </c>
      <c r="H1395" t="inlineStr">
        <is>
          <t>sprint-18</t>
        </is>
      </c>
      <c r="I1395" t="inlineStr">
        <is>
          <t>merged</t>
        </is>
      </c>
      <c r="J1395" t="inlineStr">
        <is>
          <t>343839e79dcae5c34c2327f0f9881b5b960614eb</t>
        </is>
      </c>
      <c r="K1395">
        <f>HYPERLINK("http://gitlab.osmosys.co/incident-reporter/incident-reporter-angular-portal/-/merge_requests/3607#note_242558", "'LOGGED_IN_USER_ID' this should take from localstorage key object")</f>
        <v/>
      </c>
      <c r="L1395" t="inlineStr">
        <is>
          <t>2025-07-27 11:57:55.451 IST</t>
        </is>
      </c>
      <c r="M1395" t="inlineStr">
        <is>
          <t>Soundariya B</t>
        </is>
      </c>
      <c r="N1395" t="inlineStr">
        <is>
          <t>Yes</t>
        </is>
      </c>
      <c r="O1395" t="inlineStr">
        <is>
          <t>Yes</t>
        </is>
      </c>
      <c r="P1395" t="inlineStr">
        <is>
          <t>Soundariya B</t>
        </is>
      </c>
      <c r="Q1395" t="inlineStr">
        <is>
          <t>Neutral</t>
        </is>
      </c>
    </row>
    <row r="1396">
      <c r="A1396" t="inlineStr">
        <is>
          <t>paritoshkumar.j</t>
        </is>
      </c>
      <c r="B1396" t="inlineStr">
        <is>
          <t>Paritosh Kumar Jha</t>
        </is>
      </c>
      <c r="C1396" t="inlineStr">
        <is>
          <t>paritoshkumar.j@osmosys.co</t>
        </is>
      </c>
      <c r="D1396" t="inlineStr">
        <is>
          <t>incident-reporter</t>
        </is>
      </c>
      <c r="E1396">
        <f>HYPERLINK("http://gitlab.osmosys.co/incident-reporter/incident-reporter-angular-portal", "OQSHA Portal")</f>
        <v/>
      </c>
      <c r="F1396">
        <f>HYPERLINK("http://gitlab.osmosys.co/incident-reporter/incident-reporter-angular-portal/-/merge_requests/3607", "feat: add status buttons for ticket status")</f>
        <v/>
      </c>
      <c r="G1396" t="inlineStr">
        <is>
          <t>feat/ttk-ticket-status-btns</t>
        </is>
      </c>
      <c r="H1396" t="inlineStr">
        <is>
          <t>sprint-18</t>
        </is>
      </c>
      <c r="I1396" t="inlineStr">
        <is>
          <t>merged</t>
        </is>
      </c>
      <c r="J1396" t="inlineStr">
        <is>
          <t>343839e79dcae5c34c2327f0f9881b5b960614eb</t>
        </is>
      </c>
      <c r="K1396">
        <f>HYPERLINK("http://gitlab.osmosys.co/incident-reporter/incident-reporter-angular-portal/-/merge_requests/3607#note_242757", "![image.png](/uploads/e5e9fecfa19055429d5c1a4f0cccb312/image.png){width=1343 height=166}
It is not being added, it is just being reused.")</f>
        <v/>
      </c>
      <c r="L1396" t="inlineStr">
        <is>
          <t>2025-07-28 11:10:12.072 IST</t>
        </is>
      </c>
      <c r="M1396" t="inlineStr">
        <is>
          <t>Paritosh Kumar Jha</t>
        </is>
      </c>
      <c r="N1396" t="inlineStr">
        <is>
          <t>No</t>
        </is>
      </c>
      <c r="O1396" t="inlineStr">
        <is>
          <t>Yes</t>
        </is>
      </c>
      <c r="P1396" t="inlineStr">
        <is>
          <t>Soundariya B</t>
        </is>
      </c>
      <c r="Q1396" t="inlineStr">
        <is>
          <t>Neutral</t>
        </is>
      </c>
    </row>
    <row r="1397">
      <c r="A1397" t="inlineStr">
        <is>
          <t>paritoshkumar.j</t>
        </is>
      </c>
      <c r="B1397" t="inlineStr">
        <is>
          <t>Paritosh Kumar Jha</t>
        </is>
      </c>
      <c r="C1397" t="inlineStr">
        <is>
          <t>paritoshkumar.j@osmosys.co</t>
        </is>
      </c>
      <c r="D1397" t="inlineStr">
        <is>
          <t>incident-reporter</t>
        </is>
      </c>
      <c r="E1397">
        <f>HYPERLINK("http://gitlab.osmosys.co/incident-reporter/incident-reporter-angular-portal", "OQSHA Portal")</f>
        <v/>
      </c>
      <c r="F1397">
        <f>HYPERLINK("http://gitlab.osmosys.co/incident-reporter/incident-reporter-angular-portal/-/merge_requests/3607", "feat: add status buttons for ticket status")</f>
        <v/>
      </c>
      <c r="G1397" t="inlineStr">
        <is>
          <t>feat/ttk-ticket-status-btns</t>
        </is>
      </c>
      <c r="H1397" t="inlineStr">
        <is>
          <t>sprint-18</t>
        </is>
      </c>
      <c r="I1397" t="inlineStr">
        <is>
          <t>merged</t>
        </is>
      </c>
      <c r="J1397" t="inlineStr">
        <is>
          <t>a016cef1de74a21159484f9d6e6eeb256af663dd</t>
        </is>
      </c>
      <c r="K1397">
        <f>HYPERLINK("http://gitlab.osmosys.co/incident-reporter/incident-reporter-angular-portal/-/merge_requests/3607#note_242559", "Is these roleIds are static and fixed, it won't change in future then please take these magic values from constant file")</f>
        <v/>
      </c>
      <c r="L1397" t="inlineStr">
        <is>
          <t>2025-07-27 11:57:55.506 IST</t>
        </is>
      </c>
      <c r="M1397" t="inlineStr">
        <is>
          <t>Soundariya B</t>
        </is>
      </c>
      <c r="N1397" t="inlineStr">
        <is>
          <t>Yes</t>
        </is>
      </c>
      <c r="O1397" t="inlineStr">
        <is>
          <t>Yes</t>
        </is>
      </c>
      <c r="P1397" t="inlineStr">
        <is>
          <t>Soundariya B</t>
        </is>
      </c>
      <c r="Q1397" t="inlineStr">
        <is>
          <t>Bad</t>
        </is>
      </c>
    </row>
    <row r="1398">
      <c r="A1398" t="inlineStr">
        <is>
          <t>paritoshkumar.j</t>
        </is>
      </c>
      <c r="B1398" t="inlineStr">
        <is>
          <t>Paritosh Kumar Jha</t>
        </is>
      </c>
      <c r="C1398" t="inlineStr">
        <is>
          <t>paritoshkumar.j@osmosys.co</t>
        </is>
      </c>
      <c r="D1398" t="inlineStr">
        <is>
          <t>incident-reporter</t>
        </is>
      </c>
      <c r="E1398">
        <f>HYPERLINK("http://gitlab.osmosys.co/incident-reporter/incident-reporter-angular-portal", "OQSHA Portal")</f>
        <v/>
      </c>
      <c r="F1398">
        <f>HYPERLINK("http://gitlab.osmosys.co/incident-reporter/incident-reporter-angular-portal/-/merge_requests/3607", "feat: add status buttons for ticket status")</f>
        <v/>
      </c>
      <c r="G1398" t="inlineStr">
        <is>
          <t>feat/ttk-ticket-status-btns</t>
        </is>
      </c>
      <c r="H1398" t="inlineStr">
        <is>
          <t>sprint-18</t>
        </is>
      </c>
      <c r="I1398" t="inlineStr">
        <is>
          <t>merged</t>
        </is>
      </c>
      <c r="J1398" t="inlineStr">
        <is>
          <t>a016cef1de74a21159484f9d6e6eeb256af663dd</t>
        </is>
      </c>
      <c r="K1398">
        <f>HYPERLINK("http://gitlab.osmosys.co/incident-reporter/incident-reporter-angular-portal/-/merge_requests/3607#note_243104", "Updated the logic after confirming with Sindhusha")</f>
        <v/>
      </c>
      <c r="L1398" t="inlineStr">
        <is>
          <t>2025-07-28 16:38:51.333 IST</t>
        </is>
      </c>
      <c r="M1398" t="inlineStr">
        <is>
          <t>Paritosh Kumar Jha</t>
        </is>
      </c>
      <c r="N1398" t="inlineStr">
        <is>
          <t>No</t>
        </is>
      </c>
      <c r="O1398" t="inlineStr">
        <is>
          <t>Yes</t>
        </is>
      </c>
      <c r="P1398" t="inlineStr">
        <is>
          <t>Soundariya B</t>
        </is>
      </c>
      <c r="Q1398" t="inlineStr">
        <is>
          <t>Bad</t>
        </is>
      </c>
    </row>
    <row r="1399">
      <c r="A1399" t="inlineStr">
        <is>
          <t>paritoshkumar.j</t>
        </is>
      </c>
      <c r="B1399" t="inlineStr">
        <is>
          <t>Paritosh Kumar Jha</t>
        </is>
      </c>
      <c r="C1399" t="inlineStr">
        <is>
          <t>paritoshkumar.j@osmosys.co</t>
        </is>
      </c>
      <c r="D1399" t="inlineStr">
        <is>
          <t>incident-reporter</t>
        </is>
      </c>
      <c r="E1399">
        <f>HYPERLINK("http://gitlab.osmosys.co/incident-reporter/incident-reporter-angular-portal", "OQSHA Portal")</f>
        <v/>
      </c>
      <c r="F1399">
        <f>HYPERLINK("http://gitlab.osmosys.co/incident-reporter/incident-reporter-angular-portal/-/merge_requests/3607", "feat: add status buttons for ticket status")</f>
        <v/>
      </c>
      <c r="G1399" t="inlineStr">
        <is>
          <t>feat/ttk-ticket-status-btns</t>
        </is>
      </c>
      <c r="H1399" t="inlineStr">
        <is>
          <t>sprint-18</t>
        </is>
      </c>
      <c r="I1399" t="inlineStr">
        <is>
          <t>merged</t>
        </is>
      </c>
      <c r="J1399" t="inlineStr">
        <is>
          <t>0f9ea8271d9ee4c820f00986c60d9913c01efe38</t>
        </is>
      </c>
      <c r="K1399">
        <f>HYPERLINK("http://gitlab.osmosys.co/incident-reporter/incident-reporter-angular-portal/-/merge_requests/3607#note_242560", "Error toast message is missing")</f>
        <v/>
      </c>
      <c r="L1399" t="inlineStr">
        <is>
          <t>2025-07-27 11:57:55.560 IST</t>
        </is>
      </c>
      <c r="M1399" t="inlineStr">
        <is>
          <t>Soundariya B</t>
        </is>
      </c>
      <c r="N1399" t="inlineStr">
        <is>
          <t>Yes</t>
        </is>
      </c>
      <c r="O1399" t="inlineStr">
        <is>
          <t>Yes</t>
        </is>
      </c>
      <c r="P1399" t="inlineStr">
        <is>
          <t>Soundariya B</t>
        </is>
      </c>
      <c r="Q1399" t="inlineStr">
        <is>
          <t>Bad</t>
        </is>
      </c>
    </row>
    <row r="1400">
      <c r="A1400" t="inlineStr">
        <is>
          <t>paritoshkumar.j</t>
        </is>
      </c>
      <c r="B1400" t="inlineStr">
        <is>
          <t>Paritosh Kumar Jha</t>
        </is>
      </c>
      <c r="C1400" t="inlineStr">
        <is>
          <t>paritoshkumar.j@osmosys.co</t>
        </is>
      </c>
      <c r="D1400" t="inlineStr">
        <is>
          <t>incident-reporter</t>
        </is>
      </c>
      <c r="E1400">
        <f>HYPERLINK("http://gitlab.osmosys.co/incident-reporter/incident-reporter-angular-portal", "OQSHA Portal")</f>
        <v/>
      </c>
      <c r="F1400">
        <f>HYPERLINK("http://gitlab.osmosys.co/incident-reporter/incident-reporter-angular-portal/-/merge_requests/3607", "feat: add status buttons for ticket status")</f>
        <v/>
      </c>
      <c r="G1400" t="inlineStr">
        <is>
          <t>feat/ttk-ticket-status-btns</t>
        </is>
      </c>
      <c r="H1400" t="inlineStr">
        <is>
          <t>sprint-18</t>
        </is>
      </c>
      <c r="I1400" t="inlineStr">
        <is>
          <t>merged</t>
        </is>
      </c>
      <c r="J1400" t="inlineStr">
        <is>
          <t>0f9ea8271d9ee4c820f00986c60d9913c01efe38</t>
        </is>
      </c>
      <c r="K1400">
        <f>HYPERLINK("http://gitlab.osmosys.co/incident-reporter/incident-reporter-angular-portal/-/merge_requests/3607#note_243105", "Updated")</f>
        <v/>
      </c>
      <c r="L1400" t="inlineStr">
        <is>
          <t>2025-07-28 16:39:05.420 IST</t>
        </is>
      </c>
      <c r="M1400" t="inlineStr">
        <is>
          <t>Paritosh Kumar Jha</t>
        </is>
      </c>
      <c r="N1400" t="inlineStr">
        <is>
          <t>No</t>
        </is>
      </c>
      <c r="O1400" t="inlineStr">
        <is>
          <t>Yes</t>
        </is>
      </c>
      <c r="P1400" t="inlineStr">
        <is>
          <t>Soundariya B</t>
        </is>
      </c>
      <c r="Q1400" t="inlineStr">
        <is>
          <t>Bad</t>
        </is>
      </c>
    </row>
    <row r="1401">
      <c r="A1401" t="inlineStr">
        <is>
          <t>paritoshkumar.j</t>
        </is>
      </c>
      <c r="B1401" t="inlineStr">
        <is>
          <t>Paritosh Kumar Jha</t>
        </is>
      </c>
      <c r="C1401" t="inlineStr">
        <is>
          <t>paritoshkumar.j@osmosys.co</t>
        </is>
      </c>
      <c r="D1401" t="inlineStr">
        <is>
          <t>incident-reporter</t>
        </is>
      </c>
      <c r="E1401">
        <f>HYPERLINK("http://gitlab.osmosys.co/incident-reporter/incident-reporter-angular-portal", "OQSHA Portal")</f>
        <v/>
      </c>
      <c r="F1401">
        <f>HYPERLINK("http://gitlab.osmosys.co/incident-reporter/incident-reporter-angular-portal/-/merge_requests/3607", "feat: add status buttons for ticket status")</f>
        <v/>
      </c>
      <c r="G1401" t="inlineStr">
        <is>
          <t>feat/ttk-ticket-status-btns</t>
        </is>
      </c>
      <c r="H1401" t="inlineStr">
        <is>
          <t>sprint-18</t>
        </is>
      </c>
      <c r="I1401" t="inlineStr">
        <is>
          <t>merged</t>
        </is>
      </c>
      <c r="J1401" t="inlineStr">
        <is>
          <t>6af0a77c0956065af12414cc95b4e0b86fb6c3dd</t>
        </is>
      </c>
      <c r="K1401">
        <f>HYPERLINK("http://gitlab.osmosys.co/incident-reporter/incident-reporter-angular-portal/-/merge_requests/3607#note_242561", "It should be - handleUpdateStatus")</f>
        <v/>
      </c>
      <c r="L1401" t="inlineStr">
        <is>
          <t>2025-07-27 11:57:55.614 IST</t>
        </is>
      </c>
      <c r="M1401" t="inlineStr">
        <is>
          <t>Soundariya B</t>
        </is>
      </c>
      <c r="N1401" t="inlineStr">
        <is>
          <t>Yes</t>
        </is>
      </c>
      <c r="O1401" t="inlineStr">
        <is>
          <t>Yes</t>
        </is>
      </c>
      <c r="P1401" t="inlineStr">
        <is>
          <t>Soundariya B</t>
        </is>
      </c>
      <c r="Q1401" t="inlineStr">
        <is>
          <t>Neutral</t>
        </is>
      </c>
    </row>
    <row r="1402">
      <c r="A1402" t="inlineStr">
        <is>
          <t>paritoshkumar.j</t>
        </is>
      </c>
      <c r="B1402" t="inlineStr">
        <is>
          <t>Paritosh Kumar Jha</t>
        </is>
      </c>
      <c r="C1402" t="inlineStr">
        <is>
          <t>paritoshkumar.j@osmosys.co</t>
        </is>
      </c>
      <c r="D1402" t="inlineStr">
        <is>
          <t>incident-reporter</t>
        </is>
      </c>
      <c r="E1402">
        <f>HYPERLINK("http://gitlab.osmosys.co/incident-reporter/incident-reporter-angular-portal", "OQSHA Portal")</f>
        <v/>
      </c>
      <c r="F1402">
        <f>HYPERLINK("http://gitlab.osmosys.co/incident-reporter/incident-reporter-angular-portal/-/merge_requests/3607", "feat: add status buttons for ticket status")</f>
        <v/>
      </c>
      <c r="G1402" t="inlineStr">
        <is>
          <t>feat/ttk-ticket-status-btns</t>
        </is>
      </c>
      <c r="H1402" t="inlineStr">
        <is>
          <t>sprint-18</t>
        </is>
      </c>
      <c r="I1402" t="inlineStr">
        <is>
          <t>merged</t>
        </is>
      </c>
      <c r="J1402" t="inlineStr">
        <is>
          <t>6af0a77c0956065af12414cc95b4e0b86fb6c3dd</t>
        </is>
      </c>
      <c r="K1402">
        <f>HYPERLINK("http://gitlab.osmosys.co/incident-reporter/incident-reporter-angular-portal/-/merge_requests/3607#note_242873", "As per the logic - I am handling method call when my status update is triggered and not just updating the status. So the given name is logically correct and more intuitive.")</f>
        <v/>
      </c>
      <c r="L1402" t="inlineStr">
        <is>
          <t>2025-07-28 12:34:06.853 IST</t>
        </is>
      </c>
      <c r="M1402" t="inlineStr">
        <is>
          <t>Paritosh Kumar Jha</t>
        </is>
      </c>
      <c r="N1402" t="inlineStr">
        <is>
          <t>No</t>
        </is>
      </c>
      <c r="O1402" t="inlineStr">
        <is>
          <t>Yes</t>
        </is>
      </c>
      <c r="P1402" t="inlineStr">
        <is>
          <t>Soundariya B</t>
        </is>
      </c>
      <c r="Q1402" t="inlineStr">
        <is>
          <t>Neutral</t>
        </is>
      </c>
    </row>
    <row r="1403">
      <c r="A1403" t="inlineStr">
        <is>
          <t>paritoshkumar.j</t>
        </is>
      </c>
      <c r="B1403" t="inlineStr">
        <is>
          <t>Paritosh Kumar Jha</t>
        </is>
      </c>
      <c r="C1403" t="inlineStr">
        <is>
          <t>paritoshkumar.j@osmosys.co</t>
        </is>
      </c>
      <c r="D1403" t="inlineStr">
        <is>
          <t>incident-reporter</t>
        </is>
      </c>
      <c r="E1403">
        <f>HYPERLINK("http://gitlab.osmosys.co/incident-reporter/incident-reporter-angular-portal", "OQSHA Portal")</f>
        <v/>
      </c>
      <c r="F1403">
        <f>HYPERLINK("http://gitlab.osmosys.co/incident-reporter/incident-reporter-angular-portal/-/merge_requests/3607", "feat: add status buttons for ticket status")</f>
        <v/>
      </c>
      <c r="G1403" t="inlineStr">
        <is>
          <t>feat/ttk-ticket-status-btns</t>
        </is>
      </c>
      <c r="H1403" t="inlineStr">
        <is>
          <t>sprint-18</t>
        </is>
      </c>
      <c r="I1403" t="inlineStr">
        <is>
          <t>merged</t>
        </is>
      </c>
      <c r="J1403" t="inlineStr">
        <is>
          <t>9cdb6f9a20fe0d2b3ca9c76c1c62d74aa02076c0</t>
        </is>
      </c>
      <c r="K1403">
        <f>HYPERLINK("http://gitlab.osmosys.co/incident-reporter/incident-reporter-angular-portal/-/merge_requests/3607#note_242562", "Take from constant file - already we have")</f>
        <v/>
      </c>
      <c r="L1403" t="inlineStr">
        <is>
          <t>2025-07-27 11:57:55.667 IST</t>
        </is>
      </c>
      <c r="M1403" t="inlineStr">
        <is>
          <t>Soundariya B</t>
        </is>
      </c>
      <c r="N1403" t="inlineStr">
        <is>
          <t>Yes</t>
        </is>
      </c>
      <c r="O1403" t="inlineStr">
        <is>
          <t>Yes</t>
        </is>
      </c>
      <c r="P1403" t="inlineStr">
        <is>
          <t>Soundariya B</t>
        </is>
      </c>
      <c r="Q1403" t="inlineStr">
        <is>
          <t>Bad</t>
        </is>
      </c>
    </row>
    <row r="1404">
      <c r="A1404" t="inlineStr">
        <is>
          <t>paritoshkumar.j</t>
        </is>
      </c>
      <c r="B1404" t="inlineStr">
        <is>
          <t>Paritosh Kumar Jha</t>
        </is>
      </c>
      <c r="C1404" t="inlineStr">
        <is>
          <t>paritoshkumar.j@osmosys.co</t>
        </is>
      </c>
      <c r="D1404" t="inlineStr">
        <is>
          <t>incident-reporter</t>
        </is>
      </c>
      <c r="E1404">
        <f>HYPERLINK("http://gitlab.osmosys.co/incident-reporter/incident-reporter-angular-portal", "OQSHA Portal")</f>
        <v/>
      </c>
      <c r="F1404">
        <f>HYPERLINK("http://gitlab.osmosys.co/incident-reporter/incident-reporter-angular-portal/-/merge_requests/3607", "feat: add status buttons for ticket status")</f>
        <v/>
      </c>
      <c r="G1404" t="inlineStr">
        <is>
          <t>feat/ttk-ticket-status-btns</t>
        </is>
      </c>
      <c r="H1404" t="inlineStr">
        <is>
          <t>sprint-18</t>
        </is>
      </c>
      <c r="I1404" t="inlineStr">
        <is>
          <t>merged</t>
        </is>
      </c>
      <c r="J1404" t="inlineStr">
        <is>
          <t>9cdb6f9a20fe0d2b3ca9c76c1c62d74aa02076c0</t>
        </is>
      </c>
      <c r="K1404">
        <f>HYPERLINK("http://gitlab.osmosys.co/incident-reporter/incident-reporter-angular-portal/-/merge_requests/3607#note_242842", "Fixed")</f>
        <v/>
      </c>
      <c r="L1404" t="inlineStr">
        <is>
          <t>2025-07-28 12:09:45.831 IST</t>
        </is>
      </c>
      <c r="M1404" t="inlineStr">
        <is>
          <t>Paritosh Kumar Jha</t>
        </is>
      </c>
      <c r="N1404" t="inlineStr">
        <is>
          <t>No</t>
        </is>
      </c>
      <c r="O1404" t="inlineStr">
        <is>
          <t>Yes</t>
        </is>
      </c>
      <c r="P1404" t="inlineStr">
        <is>
          <t>Soundariya B</t>
        </is>
      </c>
      <c r="Q1404" t="inlineStr">
        <is>
          <t>Bad</t>
        </is>
      </c>
    </row>
    <row r="1405">
      <c r="A1405" t="inlineStr">
        <is>
          <t>paritoshkumar.j</t>
        </is>
      </c>
      <c r="B1405" t="inlineStr">
        <is>
          <t>Paritosh Kumar Jha</t>
        </is>
      </c>
      <c r="C1405" t="inlineStr">
        <is>
          <t>paritoshkumar.j@osmosys.co</t>
        </is>
      </c>
      <c r="D1405" t="inlineStr">
        <is>
          <t>incident-reporter</t>
        </is>
      </c>
      <c r="E1405">
        <f>HYPERLINK("http://gitlab.osmosys.co/incident-reporter/incident-reporter-angular-portal", "OQSHA Portal")</f>
        <v/>
      </c>
      <c r="F1405">
        <f>HYPERLINK("http://gitlab.osmosys.co/incident-reporter/incident-reporter-angular-portal/-/merge_requests/3607", "feat: add status buttons for ticket status")</f>
        <v/>
      </c>
      <c r="G1405" t="inlineStr">
        <is>
          <t>feat/ttk-ticket-status-btns</t>
        </is>
      </c>
      <c r="H1405" t="inlineStr">
        <is>
          <t>sprint-18</t>
        </is>
      </c>
      <c r="I1405" t="inlineStr">
        <is>
          <t>merged</t>
        </is>
      </c>
      <c r="J1405" t="inlineStr">
        <is>
          <t>eda333f7a0d57851c67d9c05a423ef1394547bf1</t>
        </is>
      </c>
      <c r="K1405">
        <f>HYPERLINK("http://gitlab.osmosys.co/incident-reporter/incident-reporter-angular-portal/-/merge_requests/3607#note_242563", "If its showing on UI then take is from lang file otherwise from constant file")</f>
        <v/>
      </c>
      <c r="L1405" t="inlineStr">
        <is>
          <t>2025-07-27 11:57:55.721 IST</t>
        </is>
      </c>
      <c r="M1405" t="inlineStr">
        <is>
          <t>Soundariya B</t>
        </is>
      </c>
      <c r="N1405" t="inlineStr">
        <is>
          <t>Yes</t>
        </is>
      </c>
      <c r="O1405" t="inlineStr">
        <is>
          <t>Yes</t>
        </is>
      </c>
      <c r="P1405" t="inlineStr">
        <is>
          <t>Soundariya B</t>
        </is>
      </c>
      <c r="Q1405" t="inlineStr">
        <is>
          <t>Bad</t>
        </is>
      </c>
    </row>
    <row r="1406">
      <c r="A1406" t="inlineStr">
        <is>
          <t>paritoshkumar.j</t>
        </is>
      </c>
      <c r="B1406" t="inlineStr">
        <is>
          <t>Paritosh Kumar Jha</t>
        </is>
      </c>
      <c r="C1406" t="inlineStr">
        <is>
          <t>paritoshkumar.j@osmosys.co</t>
        </is>
      </c>
      <c r="D1406" t="inlineStr">
        <is>
          <t>incident-reporter</t>
        </is>
      </c>
      <c r="E1406">
        <f>HYPERLINK("http://gitlab.osmosys.co/incident-reporter/incident-reporter-angular-portal", "OQSHA Portal")</f>
        <v/>
      </c>
      <c r="F1406">
        <f>HYPERLINK("http://gitlab.osmosys.co/incident-reporter/incident-reporter-angular-portal/-/merge_requests/3607", "feat: add status buttons for ticket status")</f>
        <v/>
      </c>
      <c r="G1406" t="inlineStr">
        <is>
          <t>feat/ttk-ticket-status-btns</t>
        </is>
      </c>
      <c r="H1406" t="inlineStr">
        <is>
          <t>sprint-18</t>
        </is>
      </c>
      <c r="I1406" t="inlineStr">
        <is>
          <t>merged</t>
        </is>
      </c>
      <c r="J1406" t="inlineStr">
        <is>
          <t>eda333f7a0d57851c67d9c05a423ef1394547bf1</t>
        </is>
      </c>
      <c r="K1406">
        <f>HYPERLINK("http://gitlab.osmosys.co/incident-reporter/incident-reporter-angular-portal/-/merge_requests/3607#note_242841", "Fixed")</f>
        <v/>
      </c>
      <c r="L1406" t="inlineStr">
        <is>
          <t>2025-07-28 12:09:38.134 IST</t>
        </is>
      </c>
      <c r="M1406" t="inlineStr">
        <is>
          <t>Paritosh Kumar Jha</t>
        </is>
      </c>
      <c r="N1406" t="inlineStr">
        <is>
          <t>No</t>
        </is>
      </c>
      <c r="O1406" t="inlineStr">
        <is>
          <t>Yes</t>
        </is>
      </c>
      <c r="P1406" t="inlineStr">
        <is>
          <t>Soundariya B</t>
        </is>
      </c>
      <c r="Q1406" t="inlineStr">
        <is>
          <t>Bad</t>
        </is>
      </c>
    </row>
    <row r="1407">
      <c r="A1407" t="inlineStr">
        <is>
          <t>paritoshkumar.j</t>
        </is>
      </c>
      <c r="B1407" t="inlineStr">
        <is>
          <t>Paritosh Kumar Jha</t>
        </is>
      </c>
      <c r="C1407" t="inlineStr">
        <is>
          <t>paritoshkumar.j@osmosys.co</t>
        </is>
      </c>
      <c r="D1407" t="inlineStr">
        <is>
          <t>incident-reporter</t>
        </is>
      </c>
      <c r="E1407">
        <f>HYPERLINK("http://gitlab.osmosys.co/incident-reporter/incident-reporter-angular-portal", "OQSHA Portal")</f>
        <v/>
      </c>
      <c r="F1407">
        <f>HYPERLINK("http://gitlab.osmosys.co/incident-reporter/incident-reporter-angular-portal/-/merge_requests/3607", "feat: add status buttons for ticket status")</f>
        <v/>
      </c>
      <c r="G1407" t="inlineStr">
        <is>
          <t>feat/ttk-ticket-status-btns</t>
        </is>
      </c>
      <c r="H1407" t="inlineStr">
        <is>
          <t>sprint-18</t>
        </is>
      </c>
      <c r="I1407" t="inlineStr">
        <is>
          <t>merged</t>
        </is>
      </c>
      <c r="J1407" t="inlineStr">
        <is>
          <t>5c8785694ab0703b187c45a557f3baa00ac3a7cf</t>
        </is>
      </c>
      <c r="K1407">
        <f>HYPERLINK("http://gitlab.osmosys.co/incident-reporter/incident-reporter-angular-portal/-/merge_requests/3607#note_242564", "If its showing any on UI then take is from lang file otherwise from constant file -- Fix it everywhere")</f>
        <v/>
      </c>
      <c r="L1407" t="inlineStr">
        <is>
          <t>2025-07-27 11:57:55.778 IST</t>
        </is>
      </c>
      <c r="M1407" t="inlineStr">
        <is>
          <t>Soundariya B</t>
        </is>
      </c>
      <c r="N1407" t="inlineStr">
        <is>
          <t>Yes</t>
        </is>
      </c>
      <c r="O1407" t="inlineStr">
        <is>
          <t>Yes</t>
        </is>
      </c>
      <c r="P1407" t="inlineStr">
        <is>
          <t>Soundariya B</t>
        </is>
      </c>
      <c r="Q1407" t="inlineStr">
        <is>
          <t>Bad</t>
        </is>
      </c>
    </row>
    <row r="1408">
      <c r="A1408" t="inlineStr">
        <is>
          <t>paritoshkumar.j</t>
        </is>
      </c>
      <c r="B1408" t="inlineStr">
        <is>
          <t>Paritosh Kumar Jha</t>
        </is>
      </c>
      <c r="C1408" t="inlineStr">
        <is>
          <t>paritoshkumar.j@osmosys.co</t>
        </is>
      </c>
      <c r="D1408" t="inlineStr">
        <is>
          <t>incident-reporter</t>
        </is>
      </c>
      <c r="E1408">
        <f>HYPERLINK("http://gitlab.osmosys.co/incident-reporter/incident-reporter-angular-portal", "OQSHA Portal")</f>
        <v/>
      </c>
      <c r="F1408">
        <f>HYPERLINK("http://gitlab.osmosys.co/incident-reporter/incident-reporter-angular-portal/-/merge_requests/3607", "feat: add status buttons for ticket status")</f>
        <v/>
      </c>
      <c r="G1408" t="inlineStr">
        <is>
          <t>feat/ttk-ticket-status-btns</t>
        </is>
      </c>
      <c r="H1408" t="inlineStr">
        <is>
          <t>sprint-18</t>
        </is>
      </c>
      <c r="I1408" t="inlineStr">
        <is>
          <t>merged</t>
        </is>
      </c>
      <c r="J1408" t="inlineStr">
        <is>
          <t>5c8785694ab0703b187c45a557f3baa00ac3a7cf</t>
        </is>
      </c>
      <c r="K1408">
        <f>HYPERLINK("http://gitlab.osmosys.co/incident-reporter/incident-reporter-angular-portal/-/merge_requests/3607#note_242840", "Fixed")</f>
        <v/>
      </c>
      <c r="L1408" t="inlineStr">
        <is>
          <t>2025-07-28 12:09:25.782 IST</t>
        </is>
      </c>
      <c r="M1408" t="inlineStr">
        <is>
          <t>Paritosh Kumar Jha</t>
        </is>
      </c>
      <c r="N1408" t="inlineStr">
        <is>
          <t>No</t>
        </is>
      </c>
      <c r="O1408" t="inlineStr">
        <is>
          <t>Yes</t>
        </is>
      </c>
      <c r="P1408" t="inlineStr">
        <is>
          <t>Soundariya B</t>
        </is>
      </c>
      <c r="Q1408" t="inlineStr">
        <is>
          <t>Bad</t>
        </is>
      </c>
    </row>
    <row r="1409">
      <c r="A1409" t="inlineStr">
        <is>
          <t>paritoshkumar.j</t>
        </is>
      </c>
      <c r="B1409" t="inlineStr">
        <is>
          <t>Paritosh Kumar Jha</t>
        </is>
      </c>
      <c r="C1409" t="inlineStr">
        <is>
          <t>paritoshkumar.j@osmosys.co</t>
        </is>
      </c>
      <c r="D1409" t="inlineStr">
        <is>
          <t>incident-reporter</t>
        </is>
      </c>
      <c r="E1409">
        <f>HYPERLINK("http://gitlab.osmosys.co/incident-reporter/incident-reporter-angular-portal", "OQSHA Portal")</f>
        <v/>
      </c>
      <c r="F1409">
        <f>HYPERLINK("http://gitlab.osmosys.co/incident-reporter/incident-reporter-angular-portal/-/merge_requests/3584", "style: update font sizes and colors for consistency across components")</f>
        <v/>
      </c>
      <c r="G1409" t="inlineStr">
        <is>
          <t>fix/font-styling</t>
        </is>
      </c>
      <c r="H1409" t="inlineStr">
        <is>
          <t>sprint-17</t>
        </is>
      </c>
      <c r="I1409" t="inlineStr">
        <is>
          <t>merged</t>
        </is>
      </c>
      <c r="J1409" t="inlineStr"/>
      <c r="K1409" t="inlineStr"/>
      <c r="L1409" t="inlineStr"/>
      <c r="M1409" t="inlineStr"/>
      <c r="N1409" t="inlineStr"/>
      <c r="O1409" t="inlineStr"/>
      <c r="P1409" t="inlineStr"/>
      <c r="Q1409" t="inlineStr"/>
    </row>
    <row r="1410">
      <c r="A1410" t="inlineStr">
        <is>
          <t>paritoshkumar.j</t>
        </is>
      </c>
      <c r="B1410" t="inlineStr">
        <is>
          <t>Paritosh Kumar Jha</t>
        </is>
      </c>
      <c r="C1410" t="inlineStr">
        <is>
          <t>paritoshkumar.j@osmosys.co</t>
        </is>
      </c>
      <c r="D1410" t="inlineStr">
        <is>
          <t>incident-reporter</t>
        </is>
      </c>
      <c r="E1410">
        <f>HYPERLINK("http://gitlab.osmosys.co/incident-reporter/incident-reporter-angular-portal", "OQSHA Portal")</f>
        <v/>
      </c>
      <c r="F1410">
        <f>HYPERLINK("http://gitlab.osmosys.co/incident-reporter/incident-reporter-angular-portal/-/merge_requests/3550", "feat: increase font size across portal")</f>
        <v/>
      </c>
      <c r="G1410" t="inlineStr">
        <is>
          <t>feat/centralized-typography</t>
        </is>
      </c>
      <c r="H1410" t="inlineStr">
        <is>
          <t>sprint-17</t>
        </is>
      </c>
      <c r="I1410" t="inlineStr">
        <is>
          <t>merged</t>
        </is>
      </c>
      <c r="J1410" t="inlineStr"/>
      <c r="K1410" t="inlineStr"/>
      <c r="L1410" t="inlineStr"/>
      <c r="M1410" t="inlineStr"/>
      <c r="N1410" t="inlineStr"/>
      <c r="O1410" t="inlineStr"/>
      <c r="P1410" t="inlineStr"/>
      <c r="Q1410" t="inlineStr"/>
    </row>
    <row r="1411">
      <c r="A1411" t="inlineStr">
        <is>
          <t>paritoshkumar.j</t>
        </is>
      </c>
      <c r="B1411" t="inlineStr">
        <is>
          <t>Paritosh Kumar Jha</t>
        </is>
      </c>
      <c r="C1411" t="inlineStr">
        <is>
          <t>paritoshkumar.j@osmosys.co</t>
        </is>
      </c>
      <c r="D1411" t="inlineStr">
        <is>
          <t>incident-reporter</t>
        </is>
      </c>
      <c r="E1411">
        <f>HYPERLINK("http://gitlab.osmosys.co/incident-reporter/incident-reporter-angular-portal", "OQSHA Portal")</f>
        <v/>
      </c>
      <c r="F1411">
        <f>HYPERLINK("http://gitlab.osmosys.co/incident-reporter/incident-reporter-angular-portal/-/merge_requests/3536", "feat: update user dropdown settings to include tag to body option")</f>
        <v/>
      </c>
      <c r="G1411" t="inlineStr">
        <is>
          <t>fix/site-dropdown</t>
        </is>
      </c>
      <c r="H1411" t="inlineStr">
        <is>
          <t>sprint-17</t>
        </is>
      </c>
      <c r="I1411" t="inlineStr">
        <is>
          <t>merged</t>
        </is>
      </c>
      <c r="J1411" t="inlineStr"/>
      <c r="K1411" t="inlineStr"/>
      <c r="L1411" t="inlineStr"/>
      <c r="M1411" t="inlineStr"/>
      <c r="N1411" t="inlineStr"/>
      <c r="O1411" t="inlineStr"/>
      <c r="P1411" t="inlineStr"/>
      <c r="Q1411" t="inlineStr"/>
    </row>
    <row r="1412">
      <c r="A1412" t="inlineStr">
        <is>
          <t>paritoshkumar.j</t>
        </is>
      </c>
      <c r="B1412" t="inlineStr">
        <is>
          <t>Paritosh Kumar Jha</t>
        </is>
      </c>
      <c r="C1412" t="inlineStr">
        <is>
          <t>paritoshkumar.j@osmosys.co</t>
        </is>
      </c>
      <c r="D1412" t="inlineStr">
        <is>
          <t>incident-reporter</t>
        </is>
      </c>
      <c r="E1412">
        <f>HYPERLINK("http://gitlab.osmosys.co/incident-reporter/incident-reporter-angular-portal", "OQSHA Portal")</f>
        <v/>
      </c>
      <c r="F1412">
        <f>HYPERLINK("http://gitlab.osmosys.co/incident-reporter/incident-reporter-angular-portal/-/merge_requests/3530", "fix: asset and ppe table tearing")</f>
        <v/>
      </c>
      <c r="G1412" t="inlineStr">
        <is>
          <t>fix/asset-ppe-datatable</t>
        </is>
      </c>
      <c r="H1412" t="inlineStr">
        <is>
          <t>sprint-17</t>
        </is>
      </c>
      <c r="I1412" t="inlineStr">
        <is>
          <t>merged</t>
        </is>
      </c>
      <c r="J1412" t="inlineStr"/>
      <c r="K1412" t="inlineStr"/>
      <c r="L1412" t="inlineStr"/>
      <c r="M1412" t="inlineStr"/>
      <c r="N1412" t="inlineStr"/>
      <c r="O1412" t="inlineStr"/>
      <c r="P1412" t="inlineStr"/>
      <c r="Q1412" t="inlineStr"/>
    </row>
    <row r="1413">
      <c r="A1413" t="inlineStr">
        <is>
          <t>paritoshkumar.j</t>
        </is>
      </c>
      <c r="B1413" t="inlineStr">
        <is>
          <t>Paritosh Kumar Jha</t>
        </is>
      </c>
      <c r="C1413" t="inlineStr">
        <is>
          <t>paritoshkumar.j@osmosys.co</t>
        </is>
      </c>
      <c r="D1413" t="inlineStr">
        <is>
          <t>incident-reporter</t>
        </is>
      </c>
      <c r="E1413">
        <f>HYPERLINK("http://gitlab.osmosys.co/incident-reporter/incident-reporter-angular-portal", "OQSHA Portal")</f>
        <v/>
      </c>
      <c r="F1413">
        <f>HYPERLINK("http://gitlab.osmosys.co/incident-reporter/incident-reporter-angular-portal/-/merge_requests/3523", "fix: update incident status handling")</f>
        <v/>
      </c>
      <c r="G1413" t="inlineStr">
        <is>
          <t>feat/auto-assign-status</t>
        </is>
      </c>
      <c r="H1413" t="inlineStr">
        <is>
          <t>sprint-17</t>
        </is>
      </c>
      <c r="I1413" t="inlineStr">
        <is>
          <t>merged</t>
        </is>
      </c>
      <c r="J1413" t="inlineStr"/>
      <c r="K1413" t="inlineStr"/>
      <c r="L1413" t="inlineStr"/>
      <c r="M1413" t="inlineStr"/>
      <c r="N1413" t="inlineStr"/>
      <c r="O1413" t="inlineStr"/>
      <c r="P1413" t="inlineStr"/>
      <c r="Q1413" t="inlineStr"/>
    </row>
    <row r="1414">
      <c r="A1414" t="inlineStr">
        <is>
          <t>paritoshkumar.j</t>
        </is>
      </c>
      <c r="B1414" t="inlineStr">
        <is>
          <t>Paritosh Kumar Jha</t>
        </is>
      </c>
      <c r="C1414" t="inlineStr">
        <is>
          <t>paritoshkumar.j@osmosys.co</t>
        </is>
      </c>
      <c r="D1414" t="inlineStr">
        <is>
          <t>incident-reporter</t>
        </is>
      </c>
      <c r="E1414">
        <f>HYPERLINK("http://gitlab.osmosys.co/incident-reporter/incident-reporter-angular-portal", "OQSHA Portal")</f>
        <v/>
      </c>
      <c r="F1414">
        <f>HYPERLINK("http://gitlab.osmosys.co/incident-reporter/incident-reporter-angular-portal/-/merge_requests/3521", "feat: update task category api")</f>
        <v/>
      </c>
      <c r="G1414" t="inlineStr">
        <is>
          <t>feat/update-task-categ-api</t>
        </is>
      </c>
      <c r="H1414" t="inlineStr">
        <is>
          <t>sprint-17</t>
        </is>
      </c>
      <c r="I1414" t="inlineStr">
        <is>
          <t>merged</t>
        </is>
      </c>
      <c r="J1414" t="inlineStr"/>
      <c r="K1414" t="inlineStr"/>
      <c r="L1414" t="inlineStr"/>
      <c r="M1414" t="inlineStr"/>
      <c r="N1414" t="inlineStr"/>
      <c r="O1414" t="inlineStr"/>
      <c r="P1414" t="inlineStr"/>
      <c r="Q1414" t="inlineStr"/>
    </row>
    <row r="1415">
      <c r="A1415" t="inlineStr">
        <is>
          <t>paritoshkumar.j</t>
        </is>
      </c>
      <c r="B1415" t="inlineStr">
        <is>
          <t>Paritosh Kumar Jha</t>
        </is>
      </c>
      <c r="C1415" t="inlineStr">
        <is>
          <t>paritoshkumar.j@osmosys.co</t>
        </is>
      </c>
      <c r="D1415" t="inlineStr">
        <is>
          <t>incident-reporter</t>
        </is>
      </c>
      <c r="E1415">
        <f>HYPERLINK("http://gitlab.osmosys.co/incident-reporter/incident-reporter-angular-portal", "OQSHA Portal")</f>
        <v/>
      </c>
      <c r="F1415">
        <f>HYPERLINK("http://gitlab.osmosys.co/incident-reporter/incident-reporter-angular-portal/-/merge_requests/3518", "feat: add new column to tickets list page")</f>
        <v/>
      </c>
      <c r="G1415" t="inlineStr">
        <is>
          <t>feat/new-ticket-cols</t>
        </is>
      </c>
      <c r="H1415" t="inlineStr">
        <is>
          <t>sprint-17</t>
        </is>
      </c>
      <c r="I1415" t="inlineStr">
        <is>
          <t>merged</t>
        </is>
      </c>
      <c r="J1415" t="inlineStr"/>
      <c r="K1415" t="inlineStr"/>
      <c r="L1415" t="inlineStr"/>
      <c r="M1415" t="inlineStr"/>
      <c r="N1415" t="inlineStr"/>
      <c r="O1415" t="inlineStr"/>
      <c r="P1415" t="inlineStr"/>
      <c r="Q1415" t="inlineStr"/>
    </row>
    <row r="1416">
      <c r="A1416" t="inlineStr">
        <is>
          <t>paritoshkumar.j</t>
        </is>
      </c>
      <c r="B1416" t="inlineStr">
        <is>
          <t>Paritosh Kumar Jha</t>
        </is>
      </c>
      <c r="C1416" t="inlineStr">
        <is>
          <t>paritoshkumar.j@osmosys.co</t>
        </is>
      </c>
      <c r="D1416" t="inlineStr">
        <is>
          <t>incident-reporter</t>
        </is>
      </c>
      <c r="E1416">
        <f>HYPERLINK("http://gitlab.osmosys.co/incident-reporter/incident-reporter-angular-portal", "OQSHA Portal")</f>
        <v/>
      </c>
      <c r="F1416">
        <f>HYPERLINK("http://gitlab.osmosys.co/incident-reporter/incident-reporter-angular-portal/-/merge_requests/3513", "fix: update incident description field property")</f>
        <v/>
      </c>
      <c r="G1416" t="inlineStr">
        <is>
          <t>fix/ticket-desc</t>
        </is>
      </c>
      <c r="H1416" t="inlineStr">
        <is>
          <t>sprint-17</t>
        </is>
      </c>
      <c r="I1416" t="inlineStr">
        <is>
          <t>merged</t>
        </is>
      </c>
      <c r="J1416" t="inlineStr"/>
      <c r="K1416" t="inlineStr"/>
      <c r="L1416" t="inlineStr"/>
      <c r="M1416" t="inlineStr"/>
      <c r="N1416" t="inlineStr"/>
      <c r="O1416" t="inlineStr"/>
      <c r="P1416" t="inlineStr"/>
      <c r="Q1416" t="inlineStr"/>
    </row>
    <row r="1417">
      <c r="A1417" t="inlineStr">
        <is>
          <t>paritoshkumar.j</t>
        </is>
      </c>
      <c r="B1417" t="inlineStr">
        <is>
          <t>Paritosh Kumar Jha</t>
        </is>
      </c>
      <c r="C1417" t="inlineStr">
        <is>
          <t>paritoshkumar.j@osmosys.co</t>
        </is>
      </c>
      <c r="D1417" t="inlineStr">
        <is>
          <t>incident-reporter</t>
        </is>
      </c>
      <c r="E1417">
        <f>HYPERLINK("http://gitlab.osmosys.co/incident-reporter/incident-reporter-angular-portal", "OQSHA Portal")</f>
        <v/>
      </c>
      <c r="F1417">
        <f>HYPERLINK("http://gitlab.osmosys.co/incident-reporter/incident-reporter-angular-portal/-/merge_requests/3451", "feat: remove unwnated css")</f>
        <v/>
      </c>
      <c r="G1417" t="inlineStr">
        <is>
          <t>fix/remove-unwanted-css</t>
        </is>
      </c>
      <c r="H1417" t="inlineStr">
        <is>
          <t>sprint-17</t>
        </is>
      </c>
      <c r="I1417" t="inlineStr">
        <is>
          <t>merged</t>
        </is>
      </c>
      <c r="J1417" t="inlineStr"/>
      <c r="K1417" t="inlineStr"/>
      <c r="L1417" t="inlineStr"/>
      <c r="M1417" t="inlineStr"/>
      <c r="N1417" t="inlineStr"/>
      <c r="O1417" t="inlineStr"/>
      <c r="P1417" t="inlineStr"/>
      <c r="Q1417" t="inlineStr"/>
    </row>
    <row r="1418">
      <c r="A1418" t="inlineStr">
        <is>
          <t>paritoshkumar.j</t>
        </is>
      </c>
      <c r="B1418" t="inlineStr">
        <is>
          <t>Paritosh Kumar Jha</t>
        </is>
      </c>
      <c r="C1418" t="inlineStr">
        <is>
          <t>paritoshkumar.j@osmosys.co</t>
        </is>
      </c>
      <c r="D1418" t="inlineStr">
        <is>
          <t>incident-reporter</t>
        </is>
      </c>
      <c r="E1418">
        <f>HYPERLINK("http://gitlab.osmosys.co/incident-reporter/incident-reporter-angular-portal", "OQSHA Portal")</f>
        <v/>
      </c>
      <c r="F1418">
        <f>HYPERLINK("http://gitlab.osmosys.co/incident-reporter/incident-reporter-angular-portal/-/merge_requests/3443", "feat: update responsive control logic accross modules")</f>
        <v/>
      </c>
      <c r="G1418" t="inlineStr">
        <is>
          <t>feat/update-responsiveness-logic</t>
        </is>
      </c>
      <c r="H1418" t="inlineStr">
        <is>
          <t>sprint-17</t>
        </is>
      </c>
      <c r="I1418" t="inlineStr">
        <is>
          <t>merged</t>
        </is>
      </c>
      <c r="J1418" t="inlineStr"/>
      <c r="K1418" t="inlineStr"/>
      <c r="L1418" t="inlineStr"/>
      <c r="M1418" t="inlineStr"/>
      <c r="N1418" t="inlineStr"/>
      <c r="O1418" t="inlineStr"/>
      <c r="P1418" t="inlineStr"/>
      <c r="Q1418" t="inlineStr"/>
    </row>
    <row r="1419">
      <c r="A1419" t="inlineStr">
        <is>
          <t>paritoshkumar.j</t>
        </is>
      </c>
      <c r="B1419" t="inlineStr">
        <is>
          <t>Paritosh Kumar Jha</t>
        </is>
      </c>
      <c r="C1419" t="inlineStr">
        <is>
          <t>paritoshkumar.j@osmosys.co</t>
        </is>
      </c>
      <c r="D1419" t="inlineStr">
        <is>
          <t>incident-reporter</t>
        </is>
      </c>
      <c r="E1419">
        <f>HYPERLINK("http://gitlab.osmosys.co/incident-reporter/incident-reporter-angular-portal", "OQSHA Portal")</f>
        <v/>
      </c>
      <c r="F1419">
        <f>HYPERLINK("http://gitlab.osmosys.co/incident-reporter/incident-reporter-angular-portal/-/merge_requests/3408", "fix: add responsiveness to grids across portal")</f>
        <v/>
      </c>
      <c r="G1419" t="inlineStr">
        <is>
          <t>feat/add-grid-responsiveness</t>
        </is>
      </c>
      <c r="H1419" t="inlineStr">
        <is>
          <t>sprint-17</t>
        </is>
      </c>
      <c r="I1419" t="inlineStr">
        <is>
          <t>merged</t>
        </is>
      </c>
      <c r="J1419" t="inlineStr">
        <is>
          <t>1eb323d1c2835ee6a82f0446e7530afe826c211c</t>
        </is>
      </c>
      <c r="K1419">
        <f>HYPERLINK("http://gitlab.osmosys.co/incident-reporter/incident-reporter-angular-portal/-/merge_requests/3408#note_234858", "I see there 49 commits so had to dig into it so got other PRs commits as well which will be a high chance of risk to replace/remove existing code. - I suggest you its better to create new PR because behind there 71 commit and few are not yours for sure, also merge conflicts so better to assign the task for review again with new PR - 
![image.png](/uploads/fbca0f43b7898fad1e0b788a77297d1b/image.png)")</f>
        <v/>
      </c>
      <c r="L1419" t="inlineStr">
        <is>
          <t>2025-07-11 02:13:47.018 IST</t>
        </is>
      </c>
      <c r="M1419" t="inlineStr">
        <is>
          <t>Soundariya B</t>
        </is>
      </c>
      <c r="N1419" t="inlineStr">
        <is>
          <t>Yes</t>
        </is>
      </c>
      <c r="O1419" t="inlineStr">
        <is>
          <t>Yes</t>
        </is>
      </c>
      <c r="P1419" t="inlineStr">
        <is>
          <t>Soundariya B</t>
        </is>
      </c>
      <c r="Q1419" t="inlineStr">
        <is>
          <t>Neutral</t>
        </is>
      </c>
    </row>
    <row r="1420">
      <c r="A1420" t="inlineStr">
        <is>
          <t>paritoshkumar.j</t>
        </is>
      </c>
      <c r="B1420" t="inlineStr">
        <is>
          <t>Paritosh Kumar Jha</t>
        </is>
      </c>
      <c r="C1420" t="inlineStr">
        <is>
          <t>paritoshkumar.j@osmosys.co</t>
        </is>
      </c>
      <c r="D1420" t="inlineStr">
        <is>
          <t>incident-reporter</t>
        </is>
      </c>
      <c r="E1420">
        <f>HYPERLINK("http://gitlab.osmosys.co/incident-reporter/incident-reporter-angular-portal", "OQSHA Portal")</f>
        <v/>
      </c>
      <c r="F1420">
        <f>HYPERLINK("http://gitlab.osmosys.co/incident-reporter/incident-reporter-angular-portal/-/merge_requests/3408", "fix: add responsiveness to grids across portal")</f>
        <v/>
      </c>
      <c r="G1420" t="inlineStr">
        <is>
          <t>feat/add-grid-responsiveness</t>
        </is>
      </c>
      <c r="H1420" t="inlineStr">
        <is>
          <t>sprint-17</t>
        </is>
      </c>
      <c r="I1420" t="inlineStr">
        <is>
          <t>merged</t>
        </is>
      </c>
      <c r="J1420" t="inlineStr">
        <is>
          <t>1eb323d1c2835ee6a82f0446e7530afe826c211c</t>
        </is>
      </c>
      <c r="K1420">
        <f>HYPERLINK("http://gitlab.osmosys.co/incident-reporter/incident-reporter-angular-portal/-/merge_requests/3408#note_235103", "Confirmed with Raj, the additional commits are hotfixes and can be safely merged. Since the Pr is large, it is not possible to make new PR.")</f>
        <v/>
      </c>
      <c r="L1420" t="inlineStr">
        <is>
          <t>2025-07-11 12:47:38.476 IST</t>
        </is>
      </c>
      <c r="M1420" t="inlineStr">
        <is>
          <t>Paritosh Kumar Jha</t>
        </is>
      </c>
      <c r="N1420" t="inlineStr">
        <is>
          <t>No</t>
        </is>
      </c>
      <c r="O1420" t="inlineStr">
        <is>
          <t>Yes</t>
        </is>
      </c>
      <c r="P1420" t="inlineStr">
        <is>
          <t>Soundariya B</t>
        </is>
      </c>
      <c r="Q1420" t="inlineStr">
        <is>
          <t>Neutral</t>
        </is>
      </c>
    </row>
    <row r="1421">
      <c r="A1421" t="inlineStr">
        <is>
          <t>paritoshkumar.j</t>
        </is>
      </c>
      <c r="B1421" t="inlineStr">
        <is>
          <t>Paritosh Kumar Jha</t>
        </is>
      </c>
      <c r="C1421" t="inlineStr">
        <is>
          <t>paritoshkumar.j@osmosys.co</t>
        </is>
      </c>
      <c r="D1421" t="inlineStr">
        <is>
          <t>incident-reporter</t>
        </is>
      </c>
      <c r="E1421">
        <f>HYPERLINK("http://gitlab.osmosys.co/incident-reporter/incident-reporter-angular-portal", "OQSHA Portal")</f>
        <v/>
      </c>
      <c r="F1421">
        <f>HYPERLINK("http://gitlab.osmosys.co/incident-reporter/incident-reporter-angular-portal/-/merge_requests/3408", "fix: add responsiveness to grids across portal")</f>
        <v/>
      </c>
      <c r="G1421" t="inlineStr">
        <is>
          <t>feat/add-grid-responsiveness</t>
        </is>
      </c>
      <c r="H1421" t="inlineStr">
        <is>
          <t>sprint-17</t>
        </is>
      </c>
      <c r="I1421" t="inlineStr">
        <is>
          <t>merged</t>
        </is>
      </c>
      <c r="J1421" t="inlineStr">
        <is>
          <t>7d667e171a17a1304a8d76e06a385b8393aae249</t>
        </is>
      </c>
      <c r="K1421">
        <f>HYPERLINK("http://gitlab.osmosys.co/incident-reporter/incident-reporter-angular-portal/-/merge_requests/3408#note_234859", "Merge conflicts")</f>
        <v/>
      </c>
      <c r="L1421" t="inlineStr">
        <is>
          <t>2025-07-11 02:13:47.055 IST</t>
        </is>
      </c>
      <c r="M1421" t="inlineStr">
        <is>
          <t>Soundariya B</t>
        </is>
      </c>
      <c r="N1421" t="inlineStr">
        <is>
          <t>Yes</t>
        </is>
      </c>
      <c r="O1421" t="inlineStr">
        <is>
          <t>Yes</t>
        </is>
      </c>
      <c r="P1421" t="inlineStr">
        <is>
          <t>Soundariya B</t>
        </is>
      </c>
      <c r="Q1421" t="inlineStr">
        <is>
          <t>Bad</t>
        </is>
      </c>
    </row>
    <row r="1422">
      <c r="A1422" t="inlineStr">
        <is>
          <t>paritoshkumar.j</t>
        </is>
      </c>
      <c r="B1422" t="inlineStr">
        <is>
          <t>Paritosh Kumar Jha</t>
        </is>
      </c>
      <c r="C1422" t="inlineStr">
        <is>
          <t>paritoshkumar.j@osmosys.co</t>
        </is>
      </c>
      <c r="D1422" t="inlineStr">
        <is>
          <t>incident-reporter</t>
        </is>
      </c>
      <c r="E1422">
        <f>HYPERLINK("http://gitlab.osmosys.co/incident-reporter/incident-reporter-angular-portal", "OQSHA Portal")</f>
        <v/>
      </c>
      <c r="F1422">
        <f>HYPERLINK("http://gitlab.osmosys.co/incident-reporter/incident-reporter-angular-portal/-/merge_requests/3408", "fix: add responsiveness to grids across portal")</f>
        <v/>
      </c>
      <c r="G1422" t="inlineStr">
        <is>
          <t>feat/add-grid-responsiveness</t>
        </is>
      </c>
      <c r="H1422" t="inlineStr">
        <is>
          <t>sprint-17</t>
        </is>
      </c>
      <c r="I1422" t="inlineStr">
        <is>
          <t>merged</t>
        </is>
      </c>
      <c r="J1422" t="inlineStr">
        <is>
          <t>7d667e171a17a1304a8d76e06a385b8393aae249</t>
        </is>
      </c>
      <c r="K1422">
        <f>HYPERLINK("http://gitlab.osmosys.co/incident-reporter/incident-reporter-angular-portal/-/merge_requests/3408#note_235104", "Resolved")</f>
        <v/>
      </c>
      <c r="L1422" t="inlineStr">
        <is>
          <t>2025-07-11 12:47:49.523 IST</t>
        </is>
      </c>
      <c r="M1422" t="inlineStr">
        <is>
          <t>Paritosh Kumar Jha</t>
        </is>
      </c>
      <c r="N1422" t="inlineStr">
        <is>
          <t>No</t>
        </is>
      </c>
      <c r="O1422" t="inlineStr">
        <is>
          <t>Yes</t>
        </is>
      </c>
      <c r="P1422" t="inlineStr">
        <is>
          <t>Soundariya B</t>
        </is>
      </c>
      <c r="Q1422" t="inlineStr">
        <is>
          <t>Bad</t>
        </is>
      </c>
    </row>
    <row r="1423">
      <c r="A1423" t="inlineStr">
        <is>
          <t>paritoshkumar.j</t>
        </is>
      </c>
      <c r="B1423" t="inlineStr">
        <is>
          <t>Paritosh Kumar Jha</t>
        </is>
      </c>
      <c r="C1423" t="inlineStr">
        <is>
          <t>paritoshkumar.j@osmosys.co</t>
        </is>
      </c>
      <c r="D1423" t="inlineStr">
        <is>
          <t>incident-reporter</t>
        </is>
      </c>
      <c r="E1423">
        <f>HYPERLINK("http://gitlab.osmosys.co/incident-reporter/incident-reporter-angular-portal", "OQSHA Portal")</f>
        <v/>
      </c>
      <c r="F1423">
        <f>HYPERLINK("http://gitlab.osmosys.co/incident-reporter/incident-reporter-angular-portal/-/merge_requests/3408", "fix: add responsiveness to grids across portal")</f>
        <v/>
      </c>
      <c r="G1423" t="inlineStr">
        <is>
          <t>feat/add-grid-responsiveness</t>
        </is>
      </c>
      <c r="H1423" t="inlineStr">
        <is>
          <t>sprint-17</t>
        </is>
      </c>
      <c r="I1423" t="inlineStr">
        <is>
          <t>merged</t>
        </is>
      </c>
      <c r="J1423" t="inlineStr">
        <is>
          <t>124d35bd666a8f5e608b13be018671c2b45c2265</t>
        </is>
      </c>
      <c r="K1423">
        <f>HYPERLINK("http://gitlab.osmosys.co/incident-reporter/incident-reporter-angular-portal/-/merge_requests/3408#note_235582", "It should be \&lt;=")</f>
        <v/>
      </c>
      <c r="L1423" t="inlineStr">
        <is>
          <t>2025-07-11 21:29:55.696 IST</t>
        </is>
      </c>
      <c r="M1423" t="inlineStr">
        <is>
          <t>Soundariya B</t>
        </is>
      </c>
      <c r="N1423" t="inlineStr">
        <is>
          <t>Yes</t>
        </is>
      </c>
      <c r="O1423" t="inlineStr">
        <is>
          <t>Yes</t>
        </is>
      </c>
      <c r="P1423" t="inlineStr">
        <is>
          <t>Soundariya B</t>
        </is>
      </c>
      <c r="Q1423" t="inlineStr">
        <is>
          <t>Neutral</t>
        </is>
      </c>
    </row>
    <row r="1424">
      <c r="A1424" t="inlineStr">
        <is>
          <t>paritoshkumar.j</t>
        </is>
      </c>
      <c r="B1424" t="inlineStr">
        <is>
          <t>Paritosh Kumar Jha</t>
        </is>
      </c>
      <c r="C1424" t="inlineStr">
        <is>
          <t>paritoshkumar.j@osmosys.co</t>
        </is>
      </c>
      <c r="D1424" t="inlineStr">
        <is>
          <t>incident-reporter</t>
        </is>
      </c>
      <c r="E1424">
        <f>HYPERLINK("http://gitlab.osmosys.co/incident-reporter/incident-reporter-angular-portal", "OQSHA Portal")</f>
        <v/>
      </c>
      <c r="F1424">
        <f>HYPERLINK("http://gitlab.osmosys.co/incident-reporter/incident-reporter-angular-portal/-/merge_requests/3408", "fix: add responsiveness to grids across portal")</f>
        <v/>
      </c>
      <c r="G1424" t="inlineStr">
        <is>
          <t>feat/add-grid-responsiveness</t>
        </is>
      </c>
      <c r="H1424" t="inlineStr">
        <is>
          <t>sprint-17</t>
        </is>
      </c>
      <c r="I1424" t="inlineStr">
        <is>
          <t>merged</t>
        </is>
      </c>
      <c r="J1424" t="inlineStr">
        <is>
          <t>124d35bd666a8f5e608b13be018671c2b45c2265</t>
        </is>
      </c>
      <c r="K1424">
        <f>HYPERLINK("http://gitlab.osmosys.co/incident-reporter/incident-reporter-angular-portal/-/merge_requests/3408#note_235727", "No need, the minWidth is chosen such that \&lt; condition works")</f>
        <v/>
      </c>
      <c r="L1424" t="inlineStr">
        <is>
          <t>2025-07-14 10:12:19.739 IST</t>
        </is>
      </c>
      <c r="M1424" t="inlineStr">
        <is>
          <t>Paritosh Kumar Jha</t>
        </is>
      </c>
      <c r="N1424" t="inlineStr">
        <is>
          <t>No</t>
        </is>
      </c>
      <c r="O1424" t="inlineStr">
        <is>
          <t>Yes</t>
        </is>
      </c>
      <c r="P1424" t="inlineStr">
        <is>
          <t>Soundariya B</t>
        </is>
      </c>
      <c r="Q1424" t="inlineStr">
        <is>
          <t>Neutral</t>
        </is>
      </c>
    </row>
    <row r="1425">
      <c r="A1425" t="inlineStr">
        <is>
          <t>paritoshkumar.j</t>
        </is>
      </c>
      <c r="B1425" t="inlineStr">
        <is>
          <t>Paritosh Kumar Jha</t>
        </is>
      </c>
      <c r="C1425" t="inlineStr">
        <is>
          <t>paritoshkumar.j@osmosys.co</t>
        </is>
      </c>
      <c r="D1425" t="inlineStr">
        <is>
          <t>incident-reporter</t>
        </is>
      </c>
      <c r="E1425">
        <f>HYPERLINK("http://gitlab.osmosys.co/incident-reporter/incident-reporter-angular-portal", "OQSHA Portal")</f>
        <v/>
      </c>
      <c r="F1425">
        <f>HYPERLINK("http://gitlab.osmosys.co/incident-reporter/incident-reporter-angular-portal/-/merge_requests/3408", "fix: add responsiveness to grids across portal")</f>
        <v/>
      </c>
      <c r="G1425" t="inlineStr">
        <is>
          <t>feat/add-grid-responsiveness</t>
        </is>
      </c>
      <c r="H1425" t="inlineStr">
        <is>
          <t>sprint-17</t>
        </is>
      </c>
      <c r="I1425" t="inlineStr">
        <is>
          <t>merged</t>
        </is>
      </c>
      <c r="J1425" t="inlineStr">
        <is>
          <t>4708503f0599f84559f813a1a1245241e6304855</t>
        </is>
      </c>
      <c r="K1425">
        <f>HYPERLINK("http://gitlab.osmosys.co/incident-reporter/incident-reporter-angular-portal/-/merge_requests/3408#note_235583", "When the values are not 0, we can use shorthand notation. Another thing is we should not use px when the value is 0. - Fix it everywhere")</f>
        <v/>
      </c>
      <c r="L1425" t="inlineStr">
        <is>
          <t>2025-07-11 21:29:55.781 IST</t>
        </is>
      </c>
      <c r="M1425" t="inlineStr">
        <is>
          <t>Soundariya B</t>
        </is>
      </c>
      <c r="N1425" t="inlineStr">
        <is>
          <t>Yes</t>
        </is>
      </c>
      <c r="O1425" t="inlineStr">
        <is>
          <t>Yes</t>
        </is>
      </c>
      <c r="P1425" t="inlineStr">
        <is>
          <t>Soundariya B</t>
        </is>
      </c>
      <c r="Q1425" t="inlineStr">
        <is>
          <t>Neutral</t>
        </is>
      </c>
    </row>
    <row r="1426">
      <c r="A1426" t="inlineStr">
        <is>
          <t>paritoshkumar.j</t>
        </is>
      </c>
      <c r="B1426" t="inlineStr">
        <is>
          <t>Paritosh Kumar Jha</t>
        </is>
      </c>
      <c r="C1426" t="inlineStr">
        <is>
          <t>paritoshkumar.j@osmosys.co</t>
        </is>
      </c>
      <c r="D1426" t="inlineStr">
        <is>
          <t>incident-reporter</t>
        </is>
      </c>
      <c r="E1426">
        <f>HYPERLINK("http://gitlab.osmosys.co/incident-reporter/incident-reporter-angular-portal", "OQSHA Portal")</f>
        <v/>
      </c>
      <c r="F1426">
        <f>HYPERLINK("http://gitlab.osmosys.co/incident-reporter/incident-reporter-angular-portal/-/merge_requests/3408", "fix: add responsiveness to grids across portal")</f>
        <v/>
      </c>
      <c r="G1426" t="inlineStr">
        <is>
          <t>feat/add-grid-responsiveness</t>
        </is>
      </c>
      <c r="H1426" t="inlineStr">
        <is>
          <t>sprint-17</t>
        </is>
      </c>
      <c r="I1426" t="inlineStr">
        <is>
          <t>merged</t>
        </is>
      </c>
      <c r="J1426" t="inlineStr">
        <is>
          <t>4708503f0599f84559f813a1a1245241e6304855</t>
        </is>
      </c>
      <c r="K1426">
        <f>HYPERLINK("http://gitlab.osmosys.co/incident-reporter/incident-reporter-angular-portal/-/merge_requests/3408#note_236120", "0px has not been used anywhere. 
Also confirmed with Raj regarding this sort hand property, for box shadow it can be kept like this as this is used across portal like this only.")</f>
        <v/>
      </c>
      <c r="L1426" t="inlineStr">
        <is>
          <t>2025-07-14 15:55:46.102 IST</t>
        </is>
      </c>
      <c r="M1426" t="inlineStr">
        <is>
          <t>Paritosh Kumar Jha</t>
        </is>
      </c>
      <c r="N1426" t="inlineStr">
        <is>
          <t>No</t>
        </is>
      </c>
      <c r="O1426" t="inlineStr">
        <is>
          <t>Yes</t>
        </is>
      </c>
      <c r="P1426" t="inlineStr">
        <is>
          <t>Soundariya B</t>
        </is>
      </c>
      <c r="Q1426" t="inlineStr">
        <is>
          <t>Neutral</t>
        </is>
      </c>
    </row>
    <row r="1427">
      <c r="A1427" t="inlineStr">
        <is>
          <t>paritoshkumar.j</t>
        </is>
      </c>
      <c r="B1427" t="inlineStr">
        <is>
          <t>Paritosh Kumar Jha</t>
        </is>
      </c>
      <c r="C1427" t="inlineStr">
        <is>
          <t>paritoshkumar.j@osmosys.co</t>
        </is>
      </c>
      <c r="D1427" t="inlineStr">
        <is>
          <t>incident-reporter</t>
        </is>
      </c>
      <c r="E1427">
        <f>HYPERLINK("http://gitlab.osmosys.co/incident-reporter/incident-reporter-angular-portal", "OQSHA Portal")</f>
        <v/>
      </c>
      <c r="F1427">
        <f>HYPERLINK("http://gitlab.osmosys.co/incident-reporter/incident-reporter-angular-portal/-/merge_requests/3408", "fix: add responsiveness to grids across portal")</f>
        <v/>
      </c>
      <c r="G1427" t="inlineStr">
        <is>
          <t>feat/add-grid-responsiveness</t>
        </is>
      </c>
      <c r="H1427" t="inlineStr">
        <is>
          <t>sprint-17</t>
        </is>
      </c>
      <c r="I1427" t="inlineStr">
        <is>
          <t>merged</t>
        </is>
      </c>
      <c r="J1427" t="inlineStr">
        <is>
          <t>8e8d66934e0adb3dafbab5fe20226212d64a558c</t>
        </is>
      </c>
      <c r="K1427">
        <f>HYPERLINK("http://gitlab.osmosys.co/incident-reporter/incident-reporter-angular-portal/-/merge_requests/3408#note_235584", "Remove the !important - fix it everywhere")</f>
        <v/>
      </c>
      <c r="L1427" t="inlineStr">
        <is>
          <t>2025-07-11 21:29:55.833 IST</t>
        </is>
      </c>
      <c r="M1427" t="inlineStr">
        <is>
          <t>Soundariya B</t>
        </is>
      </c>
      <c r="N1427" t="inlineStr">
        <is>
          <t>Yes</t>
        </is>
      </c>
      <c r="O1427" t="inlineStr">
        <is>
          <t>Yes</t>
        </is>
      </c>
      <c r="P1427" t="inlineStr">
        <is>
          <t>Soundariya B</t>
        </is>
      </c>
      <c r="Q1427" t="inlineStr">
        <is>
          <t>Neutral</t>
        </is>
      </c>
    </row>
    <row r="1428">
      <c r="A1428" t="inlineStr">
        <is>
          <t>paritoshkumar.j</t>
        </is>
      </c>
      <c r="B1428" t="inlineStr">
        <is>
          <t>Paritosh Kumar Jha</t>
        </is>
      </c>
      <c r="C1428" t="inlineStr">
        <is>
          <t>paritoshkumar.j@osmosys.co</t>
        </is>
      </c>
      <c r="D1428" t="inlineStr">
        <is>
          <t>incident-reporter</t>
        </is>
      </c>
      <c r="E1428">
        <f>HYPERLINK("http://gitlab.osmosys.co/incident-reporter/incident-reporter-angular-portal", "OQSHA Portal")</f>
        <v/>
      </c>
      <c r="F1428">
        <f>HYPERLINK("http://gitlab.osmosys.co/incident-reporter/incident-reporter-angular-portal/-/merge_requests/3408", "fix: add responsiveness to grids across portal")</f>
        <v/>
      </c>
      <c r="G1428" t="inlineStr">
        <is>
          <t>feat/add-grid-responsiveness</t>
        </is>
      </c>
      <c r="H1428" t="inlineStr">
        <is>
          <t>sprint-17</t>
        </is>
      </c>
      <c r="I1428" t="inlineStr">
        <is>
          <t>merged</t>
        </is>
      </c>
      <c r="J1428" t="inlineStr">
        <is>
          <t>8e8d66934e0adb3dafbab5fe20226212d64a558c</t>
        </is>
      </c>
      <c r="K1428">
        <f>HYPERLINK("http://gitlab.osmosys.co/incident-reporter/incident-reporter-angular-portal/-/merge_requests/3408#note_235728", "These styles are used to override responsive plugin styles - !important is necessary. I mentioned this is the comments already")</f>
        <v/>
      </c>
      <c r="L1428" t="inlineStr">
        <is>
          <t>2025-07-14 10:13:56.988 IST</t>
        </is>
      </c>
      <c r="M1428" t="inlineStr">
        <is>
          <t>Paritosh Kumar Jha</t>
        </is>
      </c>
      <c r="N1428" t="inlineStr">
        <is>
          <t>No</t>
        </is>
      </c>
      <c r="O1428" t="inlineStr">
        <is>
          <t>Yes</t>
        </is>
      </c>
      <c r="P1428" t="inlineStr">
        <is>
          <t>Soundariya B</t>
        </is>
      </c>
      <c r="Q1428" t="inlineStr">
        <is>
          <t>Neutral</t>
        </is>
      </c>
    </row>
    <row r="1429">
      <c r="A1429" t="inlineStr">
        <is>
          <t>paritoshkumar.j</t>
        </is>
      </c>
      <c r="B1429" t="inlineStr">
        <is>
          <t>Paritosh Kumar Jha</t>
        </is>
      </c>
      <c r="C1429" t="inlineStr">
        <is>
          <t>paritoshkumar.j@osmosys.co</t>
        </is>
      </c>
      <c r="D1429" t="inlineStr">
        <is>
          <t>incident-reporter</t>
        </is>
      </c>
      <c r="E1429">
        <f>HYPERLINK("http://gitlab.osmosys.co/incident-reporter/incident-reporter-angular-portal", "OQSHA Portal")</f>
        <v/>
      </c>
      <c r="F1429">
        <f>HYPERLINK("http://gitlab.osmosys.co/incident-reporter/incident-reporter-angular-portal/-/merge_requests/3408", "fix: add responsiveness to grids across portal")</f>
        <v/>
      </c>
      <c r="G1429" t="inlineStr">
        <is>
          <t>feat/add-grid-responsiveness</t>
        </is>
      </c>
      <c r="H1429" t="inlineStr">
        <is>
          <t>sprint-17</t>
        </is>
      </c>
      <c r="I1429" t="inlineStr">
        <is>
          <t>merged</t>
        </is>
      </c>
      <c r="J1429" t="inlineStr">
        <is>
          <t>7d26be5a820753efb3f0513ba2f1b42a32b3a457</t>
        </is>
      </c>
      <c r="K1429">
        <f>HYPERLINK("http://gitlab.osmosys.co/incident-reporter/incident-reporter-angular-portal/-/merge_requests/3408#note_235585", "Improve this because it not encapsulate, not following DRY principle, less scalability - Fix it everywhere
```
if (childRow.length &gt; 0) {
  const actions = [
    { selector: 'button.edit-asset', handler: () =&gt; self.redirectToEditPageHandler(data) },
    { selector: 'button.remove-asset', handler: () =&gt; self.openDeleteModalHandler(data) }
  ];
  actions.forEach(action =&gt; {
    const $btn = $(action.selector, childRow);
    $btn.off('click').on('click', action.handler);
  });
}
```")</f>
        <v/>
      </c>
      <c r="L1429" t="inlineStr">
        <is>
          <t>2025-07-11 21:29:55.913 IST</t>
        </is>
      </c>
      <c r="M1429" t="inlineStr">
        <is>
          <t>Soundariya B</t>
        </is>
      </c>
      <c r="N1429" t="inlineStr">
        <is>
          <t>Yes</t>
        </is>
      </c>
      <c r="O1429" t="inlineStr">
        <is>
          <t>Yes</t>
        </is>
      </c>
      <c r="P1429" t="inlineStr">
        <is>
          <t>Soundariya B</t>
        </is>
      </c>
      <c r="Q1429" t="inlineStr">
        <is>
          <t>Bad</t>
        </is>
      </c>
    </row>
    <row r="1430">
      <c r="A1430" t="inlineStr">
        <is>
          <t>paritoshkumar.j</t>
        </is>
      </c>
      <c r="B1430" t="inlineStr">
        <is>
          <t>Paritosh Kumar Jha</t>
        </is>
      </c>
      <c r="C1430" t="inlineStr">
        <is>
          <t>paritoshkumar.j@osmosys.co</t>
        </is>
      </c>
      <c r="D1430" t="inlineStr">
        <is>
          <t>incident-reporter</t>
        </is>
      </c>
      <c r="E1430">
        <f>HYPERLINK("http://gitlab.osmosys.co/incident-reporter/incident-reporter-angular-portal", "OQSHA Portal")</f>
        <v/>
      </c>
      <c r="F1430">
        <f>HYPERLINK("http://gitlab.osmosys.co/incident-reporter/incident-reporter-angular-portal/-/merge_requests/3408", "fix: add responsiveness to grids across portal")</f>
        <v/>
      </c>
      <c r="G1430" t="inlineStr">
        <is>
          <t>feat/add-grid-responsiveness</t>
        </is>
      </c>
      <c r="H1430" t="inlineStr">
        <is>
          <t>sprint-17</t>
        </is>
      </c>
      <c r="I1430" t="inlineStr">
        <is>
          <t>merged</t>
        </is>
      </c>
      <c r="J1430" t="inlineStr">
        <is>
          <t>7d26be5a820753efb3f0513ba2f1b42a32b3a457</t>
        </is>
      </c>
      <c r="K1430">
        <f>HYPERLINK("http://gitlab.osmosys.co/incident-reporter/incident-reporter-angular-portal/-/merge_requests/3408#note_236040", "Updated it everywhere")</f>
        <v/>
      </c>
      <c r="L1430" t="inlineStr">
        <is>
          <t>2025-07-14 14:21:24.039 IST</t>
        </is>
      </c>
      <c r="M1430" t="inlineStr">
        <is>
          <t>Paritosh Kumar Jha</t>
        </is>
      </c>
      <c r="N1430" t="inlineStr">
        <is>
          <t>No</t>
        </is>
      </c>
      <c r="O1430" t="inlineStr">
        <is>
          <t>Yes</t>
        </is>
      </c>
      <c r="P1430" t="inlineStr">
        <is>
          <t>Soundariya B</t>
        </is>
      </c>
      <c r="Q1430" t="inlineStr">
        <is>
          <t>Bad</t>
        </is>
      </c>
    </row>
    <row r="1431">
      <c r="A1431" t="inlineStr">
        <is>
          <t>paritoshkumar.j</t>
        </is>
      </c>
      <c r="B1431" t="inlineStr">
        <is>
          <t>Paritosh Kumar Jha</t>
        </is>
      </c>
      <c r="C1431" t="inlineStr">
        <is>
          <t>paritoshkumar.j@osmosys.co</t>
        </is>
      </c>
      <c r="D1431" t="inlineStr">
        <is>
          <t>incident-reporter</t>
        </is>
      </c>
      <c r="E1431">
        <f>HYPERLINK("http://gitlab.osmosys.co/incident-reporter/incident-reporter-angular-portal", "OQSHA Portal")</f>
        <v/>
      </c>
      <c r="F1431">
        <f>HYPERLINK("http://gitlab.osmosys.co/incident-reporter/incident-reporter-angular-portal/-/merge_requests/3408", "fix: add responsiveness to grids across portal")</f>
        <v/>
      </c>
      <c r="G1431" t="inlineStr">
        <is>
          <t>feat/add-grid-responsiveness</t>
        </is>
      </c>
      <c r="H1431" t="inlineStr">
        <is>
          <t>sprint-17</t>
        </is>
      </c>
      <c r="I1431" t="inlineStr">
        <is>
          <t>merged</t>
        </is>
      </c>
      <c r="J1431" t="inlineStr">
        <is>
          <t>71b2b9407739f1ff38194ae0805d32b0c4deeac8</t>
        </is>
      </c>
      <c r="K1431">
        <f>HYPERLINK("http://gitlab.osmosys.co/incident-reporter/incident-reporter-angular-portal/-/merge_requests/3408#note_235586", "Formatting is different as compare to other places")</f>
        <v/>
      </c>
      <c r="L1431" t="inlineStr">
        <is>
          <t>2025-07-11 21:29:56.007 IST</t>
        </is>
      </c>
      <c r="M1431" t="inlineStr">
        <is>
          <t>Soundariya B</t>
        </is>
      </c>
      <c r="N1431" t="inlineStr">
        <is>
          <t>Yes</t>
        </is>
      </c>
      <c r="O1431" t="inlineStr">
        <is>
          <t>Yes</t>
        </is>
      </c>
      <c r="P1431" t="inlineStr">
        <is>
          <t>Soundariya B</t>
        </is>
      </c>
      <c r="Q1431" t="inlineStr">
        <is>
          <t>Bad</t>
        </is>
      </c>
    </row>
    <row r="1432">
      <c r="A1432" t="inlineStr">
        <is>
          <t>paritoshkumar.j</t>
        </is>
      </c>
      <c r="B1432" t="inlineStr">
        <is>
          <t>Paritosh Kumar Jha</t>
        </is>
      </c>
      <c r="C1432" t="inlineStr">
        <is>
          <t>paritoshkumar.j@osmosys.co</t>
        </is>
      </c>
      <c r="D1432" t="inlineStr">
        <is>
          <t>incident-reporter</t>
        </is>
      </c>
      <c r="E1432">
        <f>HYPERLINK("http://gitlab.osmosys.co/incident-reporter/incident-reporter-angular-portal", "OQSHA Portal")</f>
        <v/>
      </c>
      <c r="F1432">
        <f>HYPERLINK("http://gitlab.osmosys.co/incident-reporter/incident-reporter-angular-portal/-/merge_requests/3408", "fix: add responsiveness to grids across portal")</f>
        <v/>
      </c>
      <c r="G1432" t="inlineStr">
        <is>
          <t>feat/add-grid-responsiveness</t>
        </is>
      </c>
      <c r="H1432" t="inlineStr">
        <is>
          <t>sprint-17</t>
        </is>
      </c>
      <c r="I1432" t="inlineStr">
        <is>
          <t>merged</t>
        </is>
      </c>
      <c r="J1432" t="inlineStr">
        <is>
          <t>71b2b9407739f1ff38194ae0805d32b0c4deeac8</t>
        </is>
      </c>
      <c r="K1432">
        <f>HYPERLINK("http://gitlab.osmosys.co/incident-reporter/incident-reporter-angular-portal/-/merge_requests/3408#note_236039", "Updated it")</f>
        <v/>
      </c>
      <c r="L1432" t="inlineStr">
        <is>
          <t>2025-07-14 14:21:15.037 IST</t>
        </is>
      </c>
      <c r="M1432" t="inlineStr">
        <is>
          <t>Paritosh Kumar Jha</t>
        </is>
      </c>
      <c r="N1432" t="inlineStr">
        <is>
          <t>No</t>
        </is>
      </c>
      <c r="O1432" t="inlineStr">
        <is>
          <t>Yes</t>
        </is>
      </c>
      <c r="P1432" t="inlineStr">
        <is>
          <t>Soundariya B</t>
        </is>
      </c>
      <c r="Q1432" t="inlineStr">
        <is>
          <t>Bad</t>
        </is>
      </c>
    </row>
    <row r="1433">
      <c r="A1433" t="inlineStr">
        <is>
          <t>paritoshkumar.j</t>
        </is>
      </c>
      <c r="B1433" t="inlineStr">
        <is>
          <t>Paritosh Kumar Jha</t>
        </is>
      </c>
      <c r="C1433" t="inlineStr">
        <is>
          <t>paritoshkumar.j@osmosys.co</t>
        </is>
      </c>
      <c r="D1433" t="inlineStr">
        <is>
          <t>incident-reporter</t>
        </is>
      </c>
      <c r="E1433">
        <f>HYPERLINK("http://gitlab.osmosys.co/incident-reporter/incident-reporter-angular-portal", "OQSHA Portal")</f>
        <v/>
      </c>
      <c r="F1433">
        <f>HYPERLINK("http://gitlab.osmosys.co/incident-reporter/incident-reporter-angular-portal/-/merge_requests/3408", "fix: add responsiveness to grids across portal")</f>
        <v/>
      </c>
      <c r="G1433" t="inlineStr">
        <is>
          <t>feat/add-grid-responsiveness</t>
        </is>
      </c>
      <c r="H1433" t="inlineStr">
        <is>
          <t>sprint-17</t>
        </is>
      </c>
      <c r="I1433" t="inlineStr">
        <is>
          <t>merged</t>
        </is>
      </c>
      <c r="J1433" t="inlineStr">
        <is>
          <t>e727662eca1b6fbf2c045ae848c3787adef7cb6e</t>
        </is>
      </c>
      <c r="K1433">
        <f>HYPERLINK("http://gitlab.osmosys.co/incident-reporter/incident-reporter-angular-portal/-/merge_requests/3408#note_235587", "Remove space")</f>
        <v/>
      </c>
      <c r="L1433" t="inlineStr">
        <is>
          <t>2025-07-11 21:29:56.087 IST</t>
        </is>
      </c>
      <c r="M1433" t="inlineStr">
        <is>
          <t>Soundariya B</t>
        </is>
      </c>
      <c r="N1433" t="inlineStr">
        <is>
          <t>Yes</t>
        </is>
      </c>
      <c r="O1433" t="inlineStr">
        <is>
          <t>Yes</t>
        </is>
      </c>
      <c r="P1433" t="inlineStr">
        <is>
          <t>Soundariya B</t>
        </is>
      </c>
      <c r="Q1433" t="inlineStr">
        <is>
          <t>Bad</t>
        </is>
      </c>
    </row>
    <row r="1434">
      <c r="A1434" t="inlineStr">
        <is>
          <t>paritoshkumar.j</t>
        </is>
      </c>
      <c r="B1434" t="inlineStr">
        <is>
          <t>Paritosh Kumar Jha</t>
        </is>
      </c>
      <c r="C1434" t="inlineStr">
        <is>
          <t>paritoshkumar.j@osmosys.co</t>
        </is>
      </c>
      <c r="D1434" t="inlineStr">
        <is>
          <t>incident-reporter</t>
        </is>
      </c>
      <c r="E1434">
        <f>HYPERLINK("http://gitlab.osmosys.co/incident-reporter/incident-reporter-angular-portal", "OQSHA Portal")</f>
        <v/>
      </c>
      <c r="F1434">
        <f>HYPERLINK("http://gitlab.osmosys.co/incident-reporter/incident-reporter-angular-portal/-/merge_requests/3408", "fix: add responsiveness to grids across portal")</f>
        <v/>
      </c>
      <c r="G1434" t="inlineStr">
        <is>
          <t>feat/add-grid-responsiveness</t>
        </is>
      </c>
      <c r="H1434" t="inlineStr">
        <is>
          <t>sprint-17</t>
        </is>
      </c>
      <c r="I1434" t="inlineStr">
        <is>
          <t>merged</t>
        </is>
      </c>
      <c r="J1434" t="inlineStr">
        <is>
          <t>e727662eca1b6fbf2c045ae848c3787adef7cb6e</t>
        </is>
      </c>
      <c r="K1434">
        <f>HYPERLINK("http://gitlab.osmosys.co/incident-reporter/incident-reporter-angular-portal/-/merge_requests/3408#note_236037", "Removed")</f>
        <v/>
      </c>
      <c r="L1434" t="inlineStr">
        <is>
          <t>2025-07-14 14:21:07.441 IST</t>
        </is>
      </c>
      <c r="M1434" t="inlineStr">
        <is>
          <t>Paritosh Kumar Jha</t>
        </is>
      </c>
      <c r="N1434" t="inlineStr">
        <is>
          <t>No</t>
        </is>
      </c>
      <c r="O1434" t="inlineStr">
        <is>
          <t>Yes</t>
        </is>
      </c>
      <c r="P1434" t="inlineStr">
        <is>
          <t>Soundariya B</t>
        </is>
      </c>
      <c r="Q1434" t="inlineStr">
        <is>
          <t>Bad</t>
        </is>
      </c>
    </row>
    <row r="1435">
      <c r="A1435" t="inlineStr">
        <is>
          <t>paritoshkumar.j</t>
        </is>
      </c>
      <c r="B1435" t="inlineStr">
        <is>
          <t>Paritosh Kumar Jha</t>
        </is>
      </c>
      <c r="C1435" t="inlineStr">
        <is>
          <t>paritoshkumar.j@osmosys.co</t>
        </is>
      </c>
      <c r="D1435" t="inlineStr">
        <is>
          <t>incident-reporter</t>
        </is>
      </c>
      <c r="E1435">
        <f>HYPERLINK("http://gitlab.osmosys.co/incident-reporter/incident-reporter-angular-portal", "OQSHA Portal")</f>
        <v/>
      </c>
      <c r="F1435">
        <f>HYPERLINK("http://gitlab.osmosys.co/incident-reporter/incident-reporter-angular-portal/-/merge_requests/3408", "fix: add responsiveness to grids across portal")</f>
        <v/>
      </c>
      <c r="G1435" t="inlineStr">
        <is>
          <t>feat/add-grid-responsiveness</t>
        </is>
      </c>
      <c r="H1435" t="inlineStr">
        <is>
          <t>sprint-17</t>
        </is>
      </c>
      <c r="I1435" t="inlineStr">
        <is>
          <t>merged</t>
        </is>
      </c>
      <c r="J1435" t="inlineStr">
        <is>
          <t>5be565bf27f5a47b25307dbc58d6ffc817e3b115</t>
        </is>
      </c>
      <c r="K1435">
        <f>HYPERLINK("http://gitlab.osmosys.co/incident-reporter/incident-reporter-angular-portal/-/merge_requests/3408#note_235588", "Why here static width used here? Is this confirmed by Raj")</f>
        <v/>
      </c>
      <c r="L1435" t="inlineStr">
        <is>
          <t>2025-07-11 21:29:56.174 IST</t>
        </is>
      </c>
      <c r="M1435" t="inlineStr">
        <is>
          <t>Soundariya B</t>
        </is>
      </c>
      <c r="N1435" t="inlineStr">
        <is>
          <t>Yes</t>
        </is>
      </c>
      <c r="O1435" t="inlineStr">
        <is>
          <t>Yes</t>
        </is>
      </c>
      <c r="P1435" t="inlineStr">
        <is>
          <t>Soundariya B</t>
        </is>
      </c>
      <c r="Q1435" t="inlineStr">
        <is>
          <t>Neutral</t>
        </is>
      </c>
    </row>
    <row r="1436">
      <c r="A1436" t="inlineStr">
        <is>
          <t>paritoshkumar.j</t>
        </is>
      </c>
      <c r="B1436" t="inlineStr">
        <is>
          <t>Paritosh Kumar Jha</t>
        </is>
      </c>
      <c r="C1436" t="inlineStr">
        <is>
          <t>paritoshkumar.j@osmosys.co</t>
        </is>
      </c>
      <c r="D1436" t="inlineStr">
        <is>
          <t>incident-reporter</t>
        </is>
      </c>
      <c r="E1436">
        <f>HYPERLINK("http://gitlab.osmosys.co/incident-reporter/incident-reporter-angular-portal", "OQSHA Portal")</f>
        <v/>
      </c>
      <c r="F1436">
        <f>HYPERLINK("http://gitlab.osmosys.co/incident-reporter/incident-reporter-angular-portal/-/merge_requests/3408", "fix: add responsiveness to grids across portal")</f>
        <v/>
      </c>
      <c r="G1436" t="inlineStr">
        <is>
          <t>feat/add-grid-responsiveness</t>
        </is>
      </c>
      <c r="H1436" t="inlineStr">
        <is>
          <t>sprint-17</t>
        </is>
      </c>
      <c r="I1436" t="inlineStr">
        <is>
          <t>merged</t>
        </is>
      </c>
      <c r="J1436" t="inlineStr">
        <is>
          <t>5be565bf27f5a47b25307dbc58d6ffc817e3b115</t>
        </is>
      </c>
      <c r="K1436">
        <f>HYPERLINK("http://gitlab.osmosys.co/incident-reporter/incident-reporter-angular-portal/-/merge_requests/3408#note_236036", "Yes, I informed Raj about this.")</f>
        <v/>
      </c>
      <c r="L1436" t="inlineStr">
        <is>
          <t>2025-07-14 14:21:02.208 IST</t>
        </is>
      </c>
      <c r="M1436" t="inlineStr">
        <is>
          <t>Paritosh Kumar Jha</t>
        </is>
      </c>
      <c r="N1436" t="inlineStr">
        <is>
          <t>No</t>
        </is>
      </c>
      <c r="O1436" t="inlineStr">
        <is>
          <t>Yes</t>
        </is>
      </c>
      <c r="P1436" t="inlineStr">
        <is>
          <t>Soundariya B</t>
        </is>
      </c>
      <c r="Q1436" t="inlineStr">
        <is>
          <t>Neutral</t>
        </is>
      </c>
    </row>
    <row r="1437">
      <c r="A1437" t="inlineStr">
        <is>
          <t>paritoshkumar.j</t>
        </is>
      </c>
      <c r="B1437" t="inlineStr">
        <is>
          <t>Paritosh Kumar Jha</t>
        </is>
      </c>
      <c r="C1437" t="inlineStr">
        <is>
          <t>paritoshkumar.j@osmosys.co</t>
        </is>
      </c>
      <c r="D1437" t="inlineStr">
        <is>
          <t>incident-reporter</t>
        </is>
      </c>
      <c r="E1437">
        <f>HYPERLINK("http://gitlab.osmosys.co/incident-reporter/incident-reporter-angular-portal", "OQSHA Portal")</f>
        <v/>
      </c>
      <c r="F1437">
        <f>HYPERLINK("http://gitlab.osmosys.co/incident-reporter/incident-reporter-angular-portal/-/merge_requests/3408", "fix: add responsiveness to grids across portal")</f>
        <v/>
      </c>
      <c r="G1437" t="inlineStr">
        <is>
          <t>feat/add-grid-responsiveness</t>
        </is>
      </c>
      <c r="H1437" t="inlineStr">
        <is>
          <t>sprint-17</t>
        </is>
      </c>
      <c r="I1437" t="inlineStr">
        <is>
          <t>merged</t>
        </is>
      </c>
      <c r="J1437" t="inlineStr">
        <is>
          <t>268fbebd01fde0b9e4aa464284c3051a07a9f0cb</t>
        </is>
      </c>
      <c r="K1437">
        <f>HYPERLINK("http://gitlab.osmosys.co/incident-reporter/incident-reporter-angular-portal/-/merge_requests/3408#note_235589", "Avoid to use inline CSS")</f>
        <v/>
      </c>
      <c r="L1437" t="inlineStr">
        <is>
          <t>2025-07-11 21:29:56.225 IST</t>
        </is>
      </c>
      <c r="M1437" t="inlineStr">
        <is>
          <t>Soundariya B</t>
        </is>
      </c>
      <c r="N1437" t="inlineStr">
        <is>
          <t>Yes</t>
        </is>
      </c>
      <c r="O1437" t="inlineStr">
        <is>
          <t>Yes</t>
        </is>
      </c>
      <c r="P1437" t="inlineStr">
        <is>
          <t>Soundariya B</t>
        </is>
      </c>
      <c r="Q1437" t="inlineStr">
        <is>
          <t>Neutral</t>
        </is>
      </c>
    </row>
    <row r="1438">
      <c r="A1438" t="inlineStr">
        <is>
          <t>paritoshkumar.j</t>
        </is>
      </c>
      <c r="B1438" t="inlineStr">
        <is>
          <t>Paritosh Kumar Jha</t>
        </is>
      </c>
      <c r="C1438" t="inlineStr">
        <is>
          <t>paritoshkumar.j@osmosys.co</t>
        </is>
      </c>
      <c r="D1438" t="inlineStr">
        <is>
          <t>incident-reporter</t>
        </is>
      </c>
      <c r="E1438">
        <f>HYPERLINK("http://gitlab.osmosys.co/incident-reporter/incident-reporter-angular-portal", "OQSHA Portal")</f>
        <v/>
      </c>
      <c r="F1438">
        <f>HYPERLINK("http://gitlab.osmosys.co/incident-reporter/incident-reporter-angular-portal/-/merge_requests/3408", "fix: add responsiveness to grids across portal")</f>
        <v/>
      </c>
      <c r="G1438" t="inlineStr">
        <is>
          <t>feat/add-grid-responsiveness</t>
        </is>
      </c>
      <c r="H1438" t="inlineStr">
        <is>
          <t>sprint-17</t>
        </is>
      </c>
      <c r="I1438" t="inlineStr">
        <is>
          <t>merged</t>
        </is>
      </c>
      <c r="J1438" t="inlineStr">
        <is>
          <t>268fbebd01fde0b9e4aa464284c3051a07a9f0cb</t>
        </is>
      </c>
      <c r="K1438">
        <f>HYPERLINK("http://gitlab.osmosys.co/incident-reporter/incident-reporter-angular-portal/-/merge_requests/3408#note_236090", "![image.png](/uploads/b7b58d32916218e0bd736dbf4cb2aa00/image.png){width=484 height=80}
Initially also we were doing the same, we need to do it here as the severity object has colors which need to be conditionally assigned while keeping the code short")</f>
        <v/>
      </c>
      <c r="L1438" t="inlineStr">
        <is>
          <t>2025-07-14 15:20:26.032 IST</t>
        </is>
      </c>
      <c r="M1438" t="inlineStr">
        <is>
          <t>Paritosh Kumar Jha</t>
        </is>
      </c>
      <c r="N1438" t="inlineStr">
        <is>
          <t>No</t>
        </is>
      </c>
      <c r="O1438" t="inlineStr">
        <is>
          <t>Yes</t>
        </is>
      </c>
      <c r="P1438" t="inlineStr">
        <is>
          <t>Soundariya B</t>
        </is>
      </c>
      <c r="Q1438" t="inlineStr">
        <is>
          <t>Neutral</t>
        </is>
      </c>
    </row>
    <row r="1439">
      <c r="A1439" t="inlineStr">
        <is>
          <t>paritoshkumar.j</t>
        </is>
      </c>
      <c r="B1439" t="inlineStr">
        <is>
          <t>Paritosh Kumar Jha</t>
        </is>
      </c>
      <c r="C1439" t="inlineStr">
        <is>
          <t>paritoshkumar.j@osmosys.co</t>
        </is>
      </c>
      <c r="D1439" t="inlineStr">
        <is>
          <t>incident-reporter</t>
        </is>
      </c>
      <c r="E1439">
        <f>HYPERLINK("http://gitlab.osmosys.co/incident-reporter/incident-reporter-angular-portal", "OQSHA Portal")</f>
        <v/>
      </c>
      <c r="F1439">
        <f>HYPERLINK("http://gitlab.osmosys.co/incident-reporter/incident-reporter-angular-portal/-/merge_requests/3408", "fix: add responsiveness to grids across portal")</f>
        <v/>
      </c>
      <c r="G1439" t="inlineStr">
        <is>
          <t>feat/add-grid-responsiveness</t>
        </is>
      </c>
      <c r="H1439" t="inlineStr">
        <is>
          <t>sprint-17</t>
        </is>
      </c>
      <c r="I1439" t="inlineStr">
        <is>
          <t>merged</t>
        </is>
      </c>
      <c r="J1439" t="inlineStr">
        <is>
          <t>9c0af68e59697168c1c13286188c3f975f4b3f42</t>
        </is>
      </c>
      <c r="K1439">
        <f>HYPERLINK("http://gitlab.osmosys.co/incident-reporter/incident-reporter-angular-portal/-/merge_requests/3408#note_235590", "For this kind of business logic the common and shared method is present already so please use it.")</f>
        <v/>
      </c>
      <c r="L1439" t="inlineStr">
        <is>
          <t>2025-07-11 21:29:56.280 IST</t>
        </is>
      </c>
      <c r="M1439" t="inlineStr">
        <is>
          <t>Soundariya B</t>
        </is>
      </c>
      <c r="N1439" t="inlineStr">
        <is>
          <t>Yes</t>
        </is>
      </c>
      <c r="O1439" t="inlineStr">
        <is>
          <t>Yes</t>
        </is>
      </c>
      <c r="P1439" t="inlineStr">
        <is>
          <t>Soundariya B</t>
        </is>
      </c>
      <c r="Q1439" t="inlineStr">
        <is>
          <t>Bad</t>
        </is>
      </c>
    </row>
    <row r="1440">
      <c r="A1440" t="inlineStr">
        <is>
          <t>paritoshkumar.j</t>
        </is>
      </c>
      <c r="B1440" t="inlineStr">
        <is>
          <t>Paritosh Kumar Jha</t>
        </is>
      </c>
      <c r="C1440" t="inlineStr">
        <is>
          <t>paritoshkumar.j@osmosys.co</t>
        </is>
      </c>
      <c r="D1440" t="inlineStr">
        <is>
          <t>incident-reporter</t>
        </is>
      </c>
      <c r="E1440">
        <f>HYPERLINK("http://gitlab.osmosys.co/incident-reporter/incident-reporter-angular-portal", "OQSHA Portal")</f>
        <v/>
      </c>
      <c r="F1440">
        <f>HYPERLINK("http://gitlab.osmosys.co/incident-reporter/incident-reporter-angular-portal/-/merge_requests/3408", "fix: add responsiveness to grids across portal")</f>
        <v/>
      </c>
      <c r="G1440" t="inlineStr">
        <is>
          <t>feat/add-grid-responsiveness</t>
        </is>
      </c>
      <c r="H1440" t="inlineStr">
        <is>
          <t>sprint-17</t>
        </is>
      </c>
      <c r="I1440" t="inlineStr">
        <is>
          <t>merged</t>
        </is>
      </c>
      <c r="J1440" t="inlineStr">
        <is>
          <t>9c0af68e59697168c1c13286188c3f975f4b3f42</t>
        </is>
      </c>
      <c r="K1440">
        <f>HYPERLINK("http://gitlab.osmosys.co/incident-reporter/incident-reporter-angular-portal/-/merge_requests/3408#note_236084", "Updated it")</f>
        <v/>
      </c>
      <c r="L1440" t="inlineStr">
        <is>
          <t>2025-07-14 15:16:45.696 IST</t>
        </is>
      </c>
      <c r="M1440" t="inlineStr">
        <is>
          <t>Paritosh Kumar Jha</t>
        </is>
      </c>
      <c r="N1440" t="inlineStr">
        <is>
          <t>No</t>
        </is>
      </c>
      <c r="O1440" t="inlineStr">
        <is>
          <t>Yes</t>
        </is>
      </c>
      <c r="P1440" t="inlineStr">
        <is>
          <t>Soundariya B</t>
        </is>
      </c>
      <c r="Q1440" t="inlineStr">
        <is>
          <t>Bad</t>
        </is>
      </c>
    </row>
    <row r="1441">
      <c r="A1441" t="inlineStr">
        <is>
          <t>paritoshkumar.j</t>
        </is>
      </c>
      <c r="B1441" t="inlineStr">
        <is>
          <t>Paritosh Kumar Jha</t>
        </is>
      </c>
      <c r="C1441" t="inlineStr">
        <is>
          <t>paritoshkumar.j@osmosys.co</t>
        </is>
      </c>
      <c r="D1441" t="inlineStr">
        <is>
          <t>incident-reporter</t>
        </is>
      </c>
      <c r="E1441">
        <f>HYPERLINK("http://gitlab.osmosys.co/incident-reporter/incident-reporter-angular-portal", "OQSHA Portal")</f>
        <v/>
      </c>
      <c r="F1441">
        <f>HYPERLINK("http://gitlab.osmosys.co/incident-reporter/incident-reporter-angular-portal/-/merge_requests/3408", "fix: add responsiveness to grids across portal")</f>
        <v/>
      </c>
      <c r="G1441" t="inlineStr">
        <is>
          <t>feat/add-grid-responsiveness</t>
        </is>
      </c>
      <c r="H1441" t="inlineStr">
        <is>
          <t>sprint-17</t>
        </is>
      </c>
      <c r="I1441" t="inlineStr">
        <is>
          <t>merged</t>
        </is>
      </c>
      <c r="J1441" t="inlineStr">
        <is>
          <t>2f17b4ce289a42304fce5f7fe3bb6b12c89bf613</t>
        </is>
      </c>
      <c r="K1441">
        <f>HYPERLINK("http://gitlab.osmosys.co/incident-reporter/incident-reporter-angular-portal/-/merge_requests/3408#note_235591", "For this already we have a common and shared method so please use it.")</f>
        <v/>
      </c>
      <c r="L1441" t="inlineStr">
        <is>
          <t>2025-07-11 21:29:56.377 IST</t>
        </is>
      </c>
      <c r="M1441" t="inlineStr">
        <is>
          <t>Soundariya B</t>
        </is>
      </c>
      <c r="N1441" t="inlineStr">
        <is>
          <t>Yes</t>
        </is>
      </c>
      <c r="O1441" t="inlineStr">
        <is>
          <t>Yes</t>
        </is>
      </c>
      <c r="P1441" t="inlineStr">
        <is>
          <t>Soundariya B</t>
        </is>
      </c>
      <c r="Q1441" t="inlineStr">
        <is>
          <t>Bad</t>
        </is>
      </c>
    </row>
    <row r="1442">
      <c r="A1442" t="inlineStr">
        <is>
          <t>paritoshkumar.j</t>
        </is>
      </c>
      <c r="B1442" t="inlineStr">
        <is>
          <t>Paritosh Kumar Jha</t>
        </is>
      </c>
      <c r="C1442" t="inlineStr">
        <is>
          <t>paritoshkumar.j@osmosys.co</t>
        </is>
      </c>
      <c r="D1442" t="inlineStr">
        <is>
          <t>incident-reporter</t>
        </is>
      </c>
      <c r="E1442">
        <f>HYPERLINK("http://gitlab.osmosys.co/incident-reporter/incident-reporter-angular-portal", "OQSHA Portal")</f>
        <v/>
      </c>
      <c r="F1442">
        <f>HYPERLINK("http://gitlab.osmosys.co/incident-reporter/incident-reporter-angular-portal/-/merge_requests/3408", "fix: add responsiveness to grids across portal")</f>
        <v/>
      </c>
      <c r="G1442" t="inlineStr">
        <is>
          <t>feat/add-grid-responsiveness</t>
        </is>
      </c>
      <c r="H1442" t="inlineStr">
        <is>
          <t>sprint-17</t>
        </is>
      </c>
      <c r="I1442" t="inlineStr">
        <is>
          <t>merged</t>
        </is>
      </c>
      <c r="J1442" t="inlineStr">
        <is>
          <t>2f17b4ce289a42304fce5f7fe3bb6b12c89bf613</t>
        </is>
      </c>
      <c r="K1442">
        <f>HYPERLINK("http://gitlab.osmosys.co/incident-reporter/incident-reporter-angular-portal/-/merge_requests/3408#note_236068", "This method was added by aditya in one of his previous PRs. I just repositioned it. 
This method is  anyways not necessary, removing this and using logic like its used in other places
Updated")</f>
        <v/>
      </c>
      <c r="L1442" t="inlineStr">
        <is>
          <t>2025-07-14 14:50:16.134 IST</t>
        </is>
      </c>
      <c r="M1442" t="inlineStr">
        <is>
          <t>Paritosh Kumar Jha</t>
        </is>
      </c>
      <c r="N1442" t="inlineStr">
        <is>
          <t>No</t>
        </is>
      </c>
      <c r="O1442" t="inlineStr">
        <is>
          <t>Yes</t>
        </is>
      </c>
      <c r="P1442" t="inlineStr">
        <is>
          <t>Soundariya B</t>
        </is>
      </c>
      <c r="Q1442" t="inlineStr">
        <is>
          <t>Bad</t>
        </is>
      </c>
    </row>
    <row r="1443">
      <c r="A1443" t="inlineStr">
        <is>
          <t>paritoshkumar.j</t>
        </is>
      </c>
      <c r="B1443" t="inlineStr">
        <is>
          <t>Paritosh Kumar Jha</t>
        </is>
      </c>
      <c r="C1443" t="inlineStr">
        <is>
          <t>paritoshkumar.j@osmosys.co</t>
        </is>
      </c>
      <c r="D1443" t="inlineStr">
        <is>
          <t>incident-reporter</t>
        </is>
      </c>
      <c r="E1443">
        <f>HYPERLINK("http://gitlab.osmosys.co/incident-reporter/incident-reporter-angular-portal", "OQSHA Portal")</f>
        <v/>
      </c>
      <c r="F1443">
        <f>HYPERLINK("http://gitlab.osmosys.co/incident-reporter/incident-reporter-angular-portal/-/merge_requests/3408", "fix: add responsiveness to grids across portal")</f>
        <v/>
      </c>
      <c r="G1443" t="inlineStr">
        <is>
          <t>feat/add-grid-responsiveness</t>
        </is>
      </c>
      <c r="H1443" t="inlineStr">
        <is>
          <t>sprint-17</t>
        </is>
      </c>
      <c r="I1443" t="inlineStr">
        <is>
          <t>merged</t>
        </is>
      </c>
      <c r="J1443" t="inlineStr">
        <is>
          <t>2f17b4ce289a42304fce5f7fe3bb6b12c89bf613</t>
        </is>
      </c>
      <c r="K1443">
        <f>HYPERLINK("http://gitlab.osmosys.co/incident-reporter/incident-reporter-angular-portal/-/merge_requests/3408#note_236314", "Please remove from here as well as this method is not using anymore")</f>
        <v/>
      </c>
      <c r="L1443" t="inlineStr">
        <is>
          <t>2025-07-14 17:38:12.129 IST</t>
        </is>
      </c>
      <c r="M1443" t="inlineStr">
        <is>
          <t>Soundariya B</t>
        </is>
      </c>
      <c r="N1443" t="inlineStr">
        <is>
          <t>Yes</t>
        </is>
      </c>
      <c r="O1443" t="inlineStr">
        <is>
          <t>Yes</t>
        </is>
      </c>
      <c r="P1443" t="inlineStr">
        <is>
          <t>Soundariya B</t>
        </is>
      </c>
      <c r="Q1443" t="inlineStr">
        <is>
          <t>Bad</t>
        </is>
      </c>
    </row>
    <row r="1444">
      <c r="A1444" t="inlineStr">
        <is>
          <t>paritoshkumar.j</t>
        </is>
      </c>
      <c r="B1444" t="inlineStr">
        <is>
          <t>Paritosh Kumar Jha</t>
        </is>
      </c>
      <c r="C1444" t="inlineStr">
        <is>
          <t>paritoshkumar.j@osmosys.co</t>
        </is>
      </c>
      <c r="D1444" t="inlineStr">
        <is>
          <t>incident-reporter</t>
        </is>
      </c>
      <c r="E1444">
        <f>HYPERLINK("http://gitlab.osmosys.co/incident-reporter/incident-reporter-angular-portal", "OQSHA Portal")</f>
        <v/>
      </c>
      <c r="F1444">
        <f>HYPERLINK("http://gitlab.osmosys.co/incident-reporter/incident-reporter-angular-portal/-/merge_requests/3408", "fix: add responsiveness to grids across portal")</f>
        <v/>
      </c>
      <c r="G1444" t="inlineStr">
        <is>
          <t>feat/add-grid-responsiveness</t>
        </is>
      </c>
      <c r="H1444" t="inlineStr">
        <is>
          <t>sprint-17</t>
        </is>
      </c>
      <c r="I1444" t="inlineStr">
        <is>
          <t>merged</t>
        </is>
      </c>
      <c r="J1444" t="inlineStr">
        <is>
          <t>2f17b4ce289a42304fce5f7fe3bb6b12c89bf613</t>
        </is>
      </c>
      <c r="K1444">
        <f>HYPERLINK("http://gitlab.osmosys.co/incident-reporter/incident-reporter-angular-portal/-/merge_requests/3408#note_236373", "Removed")</f>
        <v/>
      </c>
      <c r="L1444" t="inlineStr">
        <is>
          <t>2025-07-14 18:25:32.277 IST</t>
        </is>
      </c>
      <c r="M1444" t="inlineStr">
        <is>
          <t>Paritosh Kumar Jha</t>
        </is>
      </c>
      <c r="N1444" t="inlineStr">
        <is>
          <t>No</t>
        </is>
      </c>
      <c r="O1444" t="inlineStr">
        <is>
          <t>Yes</t>
        </is>
      </c>
      <c r="P1444" t="inlineStr">
        <is>
          <t>Soundariya B</t>
        </is>
      </c>
      <c r="Q1444" t="inlineStr">
        <is>
          <t>Bad</t>
        </is>
      </c>
    </row>
    <row r="1445">
      <c r="A1445" t="inlineStr">
        <is>
          <t>paritoshkumar.j</t>
        </is>
      </c>
      <c r="B1445" t="inlineStr">
        <is>
          <t>Paritosh Kumar Jha</t>
        </is>
      </c>
      <c r="C1445" t="inlineStr">
        <is>
          <t>paritoshkumar.j@osmosys.co</t>
        </is>
      </c>
      <c r="D1445" t="inlineStr">
        <is>
          <t>incident-reporter</t>
        </is>
      </c>
      <c r="E1445">
        <f>HYPERLINK("http://gitlab.osmosys.co/incident-reporter/incident-reporter-angular-portal", "OQSHA Portal")</f>
        <v/>
      </c>
      <c r="F1445">
        <f>HYPERLINK("http://gitlab.osmosys.co/incident-reporter/incident-reporter-angular-portal/-/merge_requests/3408", "fix: add responsiveness to grids across portal")</f>
        <v/>
      </c>
      <c r="G1445" t="inlineStr">
        <is>
          <t>feat/add-grid-responsiveness</t>
        </is>
      </c>
      <c r="H1445" t="inlineStr">
        <is>
          <t>sprint-17</t>
        </is>
      </c>
      <c r="I1445" t="inlineStr">
        <is>
          <t>merged</t>
        </is>
      </c>
      <c r="J1445" t="inlineStr">
        <is>
          <t>eef6e274fe88329f9ee4ba803fbebfdb18e4323f</t>
        </is>
      </c>
      <c r="K1445">
        <f>HYPERLINK("http://gitlab.osmosys.co/incident-reporter/incident-reporter-angular-portal/-/merge_requests/3408#note_235592", "Same here - please fix it as per above comment please check it")</f>
        <v/>
      </c>
      <c r="L1445" t="inlineStr">
        <is>
          <t>2025-07-11 21:29:56.481 IST</t>
        </is>
      </c>
      <c r="M1445" t="inlineStr">
        <is>
          <t>Soundariya B</t>
        </is>
      </c>
      <c r="N1445" t="inlineStr">
        <is>
          <t>Yes</t>
        </is>
      </c>
      <c r="O1445" t="inlineStr">
        <is>
          <t>Yes</t>
        </is>
      </c>
      <c r="P1445" t="inlineStr">
        <is>
          <t>Soundariya B</t>
        </is>
      </c>
      <c r="Q1445" t="inlineStr">
        <is>
          <t>Bad</t>
        </is>
      </c>
    </row>
    <row r="1446">
      <c r="A1446" t="inlineStr">
        <is>
          <t>paritoshkumar.j</t>
        </is>
      </c>
      <c r="B1446" t="inlineStr">
        <is>
          <t>Paritosh Kumar Jha</t>
        </is>
      </c>
      <c r="C1446" t="inlineStr">
        <is>
          <t>paritoshkumar.j@osmosys.co</t>
        </is>
      </c>
      <c r="D1446" t="inlineStr">
        <is>
          <t>incident-reporter</t>
        </is>
      </c>
      <c r="E1446">
        <f>HYPERLINK("http://gitlab.osmosys.co/incident-reporter/incident-reporter-angular-portal", "OQSHA Portal")</f>
        <v/>
      </c>
      <c r="F1446">
        <f>HYPERLINK("http://gitlab.osmosys.co/incident-reporter/incident-reporter-angular-portal/-/merge_requests/3408", "fix: add responsiveness to grids across portal")</f>
        <v/>
      </c>
      <c r="G1446" t="inlineStr">
        <is>
          <t>feat/add-grid-responsiveness</t>
        </is>
      </c>
      <c r="H1446" t="inlineStr">
        <is>
          <t>sprint-17</t>
        </is>
      </c>
      <c r="I1446" t="inlineStr">
        <is>
          <t>merged</t>
        </is>
      </c>
      <c r="J1446" t="inlineStr">
        <is>
          <t>eef6e274fe88329f9ee4ba803fbebfdb18e4323f</t>
        </is>
      </c>
      <c r="K1446">
        <f>HYPERLINK("http://gitlab.osmosys.co/incident-reporter/incident-reporter-angular-portal/-/merge_requests/3408#note_236096", "Updated")</f>
        <v/>
      </c>
      <c r="L1446" t="inlineStr">
        <is>
          <t>2025-07-14 15:43:40.906 IST</t>
        </is>
      </c>
      <c r="M1446" t="inlineStr">
        <is>
          <t>Paritosh Kumar Jha</t>
        </is>
      </c>
      <c r="N1446" t="inlineStr">
        <is>
          <t>No</t>
        </is>
      </c>
      <c r="O1446" t="inlineStr">
        <is>
          <t>Yes</t>
        </is>
      </c>
      <c r="P1446" t="inlineStr">
        <is>
          <t>Soundariya B</t>
        </is>
      </c>
      <c r="Q1446" t="inlineStr">
        <is>
          <t>Bad</t>
        </is>
      </c>
    </row>
    <row r="1447">
      <c r="A1447" t="inlineStr">
        <is>
          <t>paritoshkumar.j</t>
        </is>
      </c>
      <c r="B1447" t="inlineStr">
        <is>
          <t>Paritosh Kumar Jha</t>
        </is>
      </c>
      <c r="C1447" t="inlineStr">
        <is>
          <t>paritoshkumar.j@osmosys.co</t>
        </is>
      </c>
      <c r="D1447" t="inlineStr">
        <is>
          <t>incident-reporter</t>
        </is>
      </c>
      <c r="E1447">
        <f>HYPERLINK("http://gitlab.osmosys.co/incident-reporter/incident-reporter-angular-portal", "OQSHA Portal")</f>
        <v/>
      </c>
      <c r="F1447">
        <f>HYPERLINK("http://gitlab.osmosys.co/incident-reporter/incident-reporter-angular-portal/-/merge_requests/3408", "fix: add responsiveness to grids across portal")</f>
        <v/>
      </c>
      <c r="G1447" t="inlineStr">
        <is>
          <t>feat/add-grid-responsiveness</t>
        </is>
      </c>
      <c r="H1447" t="inlineStr">
        <is>
          <t>sprint-17</t>
        </is>
      </c>
      <c r="I1447" t="inlineStr">
        <is>
          <t>merged</t>
        </is>
      </c>
      <c r="J1447" t="inlineStr">
        <is>
          <t>354b6b6021ef356aa9fcc93d0f105d06af4ec828</t>
        </is>
      </c>
      <c r="K1447">
        <f>HYPERLINK("http://gitlab.osmosys.co/incident-reporter/incident-reporter-angular-portal/-/merge_requests/3408#note_235593", "Remove setTimeout with 0 seconds - fix it everywhere required")</f>
        <v/>
      </c>
      <c r="L1447" t="inlineStr">
        <is>
          <t>2025-07-11 21:29:56.573 IST</t>
        </is>
      </c>
      <c r="M1447" t="inlineStr">
        <is>
          <t>Soundariya B</t>
        </is>
      </c>
      <c r="N1447" t="inlineStr">
        <is>
          <t>Yes</t>
        </is>
      </c>
      <c r="O1447" t="inlineStr">
        <is>
          <t>Yes</t>
        </is>
      </c>
      <c r="P1447" t="inlineStr">
        <is>
          <t>Soundariya B</t>
        </is>
      </c>
      <c r="Q1447" t="inlineStr">
        <is>
          <t>Neutral</t>
        </is>
      </c>
    </row>
    <row r="1448">
      <c r="A1448" t="inlineStr">
        <is>
          <t>paritoshkumar.j</t>
        </is>
      </c>
      <c r="B1448" t="inlineStr">
        <is>
          <t>Paritosh Kumar Jha</t>
        </is>
      </c>
      <c r="C1448" t="inlineStr">
        <is>
          <t>paritoshkumar.j@osmosys.co</t>
        </is>
      </c>
      <c r="D1448" t="inlineStr">
        <is>
          <t>incident-reporter</t>
        </is>
      </c>
      <c r="E1448">
        <f>HYPERLINK("http://gitlab.osmosys.co/incident-reporter/incident-reporter-angular-portal", "OQSHA Portal")</f>
        <v/>
      </c>
      <c r="F1448">
        <f>HYPERLINK("http://gitlab.osmosys.co/incident-reporter/incident-reporter-angular-portal/-/merge_requests/3408", "fix: add responsiveness to grids across portal")</f>
        <v/>
      </c>
      <c r="G1448" t="inlineStr">
        <is>
          <t>feat/add-grid-responsiveness</t>
        </is>
      </c>
      <c r="H1448" t="inlineStr">
        <is>
          <t>sprint-17</t>
        </is>
      </c>
      <c r="I1448" t="inlineStr">
        <is>
          <t>merged</t>
        </is>
      </c>
      <c r="J1448" t="inlineStr">
        <is>
          <t>354b6b6021ef356aa9fcc93d0f105d06af4ec828</t>
        </is>
      </c>
      <c r="K1448">
        <f>HYPERLINK("http://gitlab.osmosys.co/incident-reporter/incident-reporter-angular-portal/-/merge_requests/3408#note_235729", "It is necessary for the event loop to clear before this execution")</f>
        <v/>
      </c>
      <c r="L1448" t="inlineStr">
        <is>
          <t>2025-07-14 10:21:23.318 IST</t>
        </is>
      </c>
      <c r="M1448" t="inlineStr">
        <is>
          <t>Paritosh Kumar Jha</t>
        </is>
      </c>
      <c r="N1448" t="inlineStr">
        <is>
          <t>No</t>
        </is>
      </c>
      <c r="O1448" t="inlineStr">
        <is>
          <t>Yes</t>
        </is>
      </c>
      <c r="P1448" t="inlineStr">
        <is>
          <t>Soundariya B</t>
        </is>
      </c>
      <c r="Q1448" t="inlineStr">
        <is>
          <t>Neutral</t>
        </is>
      </c>
    </row>
    <row r="1449">
      <c r="A1449" t="inlineStr">
        <is>
          <t>paritoshkumar.j</t>
        </is>
      </c>
      <c r="B1449" t="inlineStr">
        <is>
          <t>Paritosh Kumar Jha</t>
        </is>
      </c>
      <c r="C1449" t="inlineStr">
        <is>
          <t>paritoshkumar.j@osmosys.co</t>
        </is>
      </c>
      <c r="D1449" t="inlineStr">
        <is>
          <t>incident-reporter</t>
        </is>
      </c>
      <c r="E1449">
        <f>HYPERLINK("http://gitlab.osmosys.co/incident-reporter/incident-reporter-angular-portal", "OQSHA Portal")</f>
        <v/>
      </c>
      <c r="F1449">
        <f>HYPERLINK("http://gitlab.osmosys.co/incident-reporter/incident-reporter-angular-portal/-/merge_requests/3408", "fix: add responsiveness to grids across portal")</f>
        <v/>
      </c>
      <c r="G1449" t="inlineStr">
        <is>
          <t>feat/add-grid-responsiveness</t>
        </is>
      </c>
      <c r="H1449" t="inlineStr">
        <is>
          <t>sprint-17</t>
        </is>
      </c>
      <c r="I1449" t="inlineStr">
        <is>
          <t>merged</t>
        </is>
      </c>
      <c r="J1449" t="inlineStr">
        <is>
          <t>960f64c7fa556562b12579d7b25fe6d1aa10bb7a</t>
        </is>
      </c>
      <c r="K1449">
        <f>HYPERLINK("http://gitlab.osmosys.co/incident-reporter/incident-reporter-angular-portal/-/merge_requests/3408#note_235594", "Remove this")</f>
        <v/>
      </c>
      <c r="L1449" t="inlineStr">
        <is>
          <t>2025-07-11 21:29:56.657 IST</t>
        </is>
      </c>
      <c r="M1449" t="inlineStr">
        <is>
          <t>Soundariya B</t>
        </is>
      </c>
      <c r="N1449" t="inlineStr">
        <is>
          <t>Yes</t>
        </is>
      </c>
      <c r="O1449" t="inlineStr">
        <is>
          <t>Yes</t>
        </is>
      </c>
      <c r="P1449" t="inlineStr">
        <is>
          <t>Soundariya B</t>
        </is>
      </c>
      <c r="Q1449" t="inlineStr">
        <is>
          <t>Bad</t>
        </is>
      </c>
    </row>
    <row r="1450">
      <c r="A1450" t="inlineStr">
        <is>
          <t>paritoshkumar.j</t>
        </is>
      </c>
      <c r="B1450" t="inlineStr">
        <is>
          <t>Paritosh Kumar Jha</t>
        </is>
      </c>
      <c r="C1450" t="inlineStr">
        <is>
          <t>paritoshkumar.j@osmosys.co</t>
        </is>
      </c>
      <c r="D1450" t="inlineStr">
        <is>
          <t>incident-reporter</t>
        </is>
      </c>
      <c r="E1450">
        <f>HYPERLINK("http://gitlab.osmosys.co/incident-reporter/incident-reporter-angular-portal", "OQSHA Portal")</f>
        <v/>
      </c>
      <c r="F1450">
        <f>HYPERLINK("http://gitlab.osmosys.co/incident-reporter/incident-reporter-angular-portal/-/merge_requests/3408", "fix: add responsiveness to grids across portal")</f>
        <v/>
      </c>
      <c r="G1450" t="inlineStr">
        <is>
          <t>feat/add-grid-responsiveness</t>
        </is>
      </c>
      <c r="H1450" t="inlineStr">
        <is>
          <t>sprint-17</t>
        </is>
      </c>
      <c r="I1450" t="inlineStr">
        <is>
          <t>merged</t>
        </is>
      </c>
      <c r="J1450" t="inlineStr">
        <is>
          <t>960f64c7fa556562b12579d7b25fe6d1aa10bb7a</t>
        </is>
      </c>
      <c r="K1450">
        <f>HYPERLINK("http://gitlab.osmosys.co/incident-reporter/incident-reporter-angular-portal/-/merge_requests/3408#note_236045", "Removed")</f>
        <v/>
      </c>
      <c r="L1450" t="inlineStr">
        <is>
          <t>2025-07-14 14:21:38.525 IST</t>
        </is>
      </c>
      <c r="M1450" t="inlineStr">
        <is>
          <t>Paritosh Kumar Jha</t>
        </is>
      </c>
      <c r="N1450" t="inlineStr">
        <is>
          <t>No</t>
        </is>
      </c>
      <c r="O1450" t="inlineStr">
        <is>
          <t>Yes</t>
        </is>
      </c>
      <c r="P1450" t="inlineStr">
        <is>
          <t>Soundariya B</t>
        </is>
      </c>
      <c r="Q1450" t="inlineStr">
        <is>
          <t>Bad</t>
        </is>
      </c>
    </row>
    <row r="1451">
      <c r="A1451" t="inlineStr">
        <is>
          <t>paritoshkumar.j</t>
        </is>
      </c>
      <c r="B1451" t="inlineStr">
        <is>
          <t>Paritosh Kumar Jha</t>
        </is>
      </c>
      <c r="C1451" t="inlineStr">
        <is>
          <t>paritoshkumar.j@osmosys.co</t>
        </is>
      </c>
      <c r="D1451" t="inlineStr">
        <is>
          <t>incident-reporter</t>
        </is>
      </c>
      <c r="E1451">
        <f>HYPERLINK("http://gitlab.osmosys.co/incident-reporter/incident-reporter-angular-portal", "OQSHA Portal")</f>
        <v/>
      </c>
      <c r="F1451">
        <f>HYPERLINK("http://gitlab.osmosys.co/incident-reporter/incident-reporter-angular-portal/-/merge_requests/3408", "fix: add responsiveness to grids across portal")</f>
        <v/>
      </c>
      <c r="G1451" t="inlineStr">
        <is>
          <t>feat/add-grid-responsiveness</t>
        </is>
      </c>
      <c r="H1451" t="inlineStr">
        <is>
          <t>sprint-17</t>
        </is>
      </c>
      <c r="I1451" t="inlineStr">
        <is>
          <t>merged</t>
        </is>
      </c>
      <c r="J1451" t="inlineStr">
        <is>
          <t>ecb52f9e057be2b28cd44088b22a9ce54e22f2cf</t>
        </is>
      </c>
      <c r="K1451">
        <f>HYPERLINK("http://gitlab.osmosys.co/incident-reporter/incident-reporter-angular-portal/-/merge_requests/3408#note_235595", "Remove this")</f>
        <v/>
      </c>
      <c r="L1451" t="inlineStr">
        <is>
          <t>2025-07-11 21:29:56.742 IST</t>
        </is>
      </c>
      <c r="M1451" t="inlineStr">
        <is>
          <t>Soundariya B</t>
        </is>
      </c>
      <c r="N1451" t="inlineStr">
        <is>
          <t>Yes</t>
        </is>
      </c>
      <c r="O1451" t="inlineStr">
        <is>
          <t>Yes</t>
        </is>
      </c>
      <c r="P1451" t="inlineStr">
        <is>
          <t>Soundariya B</t>
        </is>
      </c>
      <c r="Q1451" t="inlineStr">
        <is>
          <t>Bad</t>
        </is>
      </c>
    </row>
    <row r="1452">
      <c r="A1452" t="inlineStr">
        <is>
          <t>paritoshkumar.j</t>
        </is>
      </c>
      <c r="B1452" t="inlineStr">
        <is>
          <t>Paritosh Kumar Jha</t>
        </is>
      </c>
      <c r="C1452" t="inlineStr">
        <is>
          <t>paritoshkumar.j@osmosys.co</t>
        </is>
      </c>
      <c r="D1452" t="inlineStr">
        <is>
          <t>incident-reporter</t>
        </is>
      </c>
      <c r="E1452">
        <f>HYPERLINK("http://gitlab.osmosys.co/incident-reporter/incident-reporter-angular-portal", "OQSHA Portal")</f>
        <v/>
      </c>
      <c r="F1452">
        <f>HYPERLINK("http://gitlab.osmosys.co/incident-reporter/incident-reporter-angular-portal/-/merge_requests/3408", "fix: add responsiveness to grids across portal")</f>
        <v/>
      </c>
      <c r="G1452" t="inlineStr">
        <is>
          <t>feat/add-grid-responsiveness</t>
        </is>
      </c>
      <c r="H1452" t="inlineStr">
        <is>
          <t>sprint-17</t>
        </is>
      </c>
      <c r="I1452" t="inlineStr">
        <is>
          <t>merged</t>
        </is>
      </c>
      <c r="J1452" t="inlineStr">
        <is>
          <t>ecb52f9e057be2b28cd44088b22a9ce54e22f2cf</t>
        </is>
      </c>
      <c r="K1452">
        <f>HYPERLINK("http://gitlab.osmosys.co/incident-reporter/incident-reporter-angular-portal/-/merge_requests/3408#note_236051", "Removed")</f>
        <v/>
      </c>
      <c r="L1452" t="inlineStr">
        <is>
          <t>2025-07-14 14:21:47.282 IST</t>
        </is>
      </c>
      <c r="M1452" t="inlineStr">
        <is>
          <t>Paritosh Kumar Jha</t>
        </is>
      </c>
      <c r="N1452" t="inlineStr">
        <is>
          <t>No</t>
        </is>
      </c>
      <c r="O1452" t="inlineStr">
        <is>
          <t>Yes</t>
        </is>
      </c>
      <c r="P1452" t="inlineStr">
        <is>
          <t>Soundariya B</t>
        </is>
      </c>
      <c r="Q1452" t="inlineStr">
        <is>
          <t>Bad</t>
        </is>
      </c>
    </row>
    <row r="1453">
      <c r="A1453" t="inlineStr">
        <is>
          <t>paritoshkumar.j</t>
        </is>
      </c>
      <c r="B1453" t="inlineStr">
        <is>
          <t>Paritosh Kumar Jha</t>
        </is>
      </c>
      <c r="C1453" t="inlineStr">
        <is>
          <t>paritoshkumar.j@osmosys.co</t>
        </is>
      </c>
      <c r="D1453" t="inlineStr">
        <is>
          <t>incident-reporter</t>
        </is>
      </c>
      <c r="E1453">
        <f>HYPERLINK("http://gitlab.osmosys.co/incident-reporter/incident-reporter-angular-portal", "OQSHA Portal")</f>
        <v/>
      </c>
      <c r="F1453">
        <f>HYPERLINK("http://gitlab.osmosys.co/incident-reporter/incident-reporter-angular-portal/-/merge_requests/3408", "fix: add responsiveness to grids across portal")</f>
        <v/>
      </c>
      <c r="G1453" t="inlineStr">
        <is>
          <t>feat/add-grid-responsiveness</t>
        </is>
      </c>
      <c r="H1453" t="inlineStr">
        <is>
          <t>sprint-17</t>
        </is>
      </c>
      <c r="I1453" t="inlineStr">
        <is>
          <t>merged</t>
        </is>
      </c>
      <c r="J1453" t="inlineStr">
        <is>
          <t>799abc94bb887477447b85b0de3e6646b30d9c3e</t>
        </is>
      </c>
      <c r="K1453">
        <f>HYPERLINK("http://gitlab.osmosys.co/incident-reporter/incident-reporter-angular-portal/-/merge_requests/3408#note_235596", "![image.png](/uploads/71a71434a3563e1e43c5d2325b115afa/image.png)
As per the dev comment, I followed and did not raise the same type of threads in all places, but for this to make easy process for verifying in the next round of review, I suggest you please add each thread fix in each commit so its cleared to see that each thread is resolved in all places.
And the red underlined one - you should fine the reason and way to fix it and use the CSS as globally because all CSS files which you added changes all are same which not recommended. Let's assume in future if we add another new module then other developer needs to pick all CSS and paste it in that new module which chance to miss and increase the load of the files and also code redundancy so better to fine the way and fix. --- Otherwise please check with Raj if you still want to keep like this.")</f>
        <v/>
      </c>
      <c r="L1453" t="inlineStr">
        <is>
          <t>2025-07-11 21:29:56.788 IST</t>
        </is>
      </c>
      <c r="M1453" t="inlineStr">
        <is>
          <t>Soundariya B</t>
        </is>
      </c>
      <c r="N1453" t="inlineStr">
        <is>
          <t>Yes</t>
        </is>
      </c>
      <c r="O1453" t="inlineStr">
        <is>
          <t>Yes</t>
        </is>
      </c>
      <c r="P1453" t="inlineStr">
        <is>
          <t>Soundariya B</t>
        </is>
      </c>
      <c r="Q1453" t="inlineStr">
        <is>
          <t>Neutral</t>
        </is>
      </c>
    </row>
    <row r="1454">
      <c r="A1454" t="inlineStr">
        <is>
          <t>paritoshkumar.j</t>
        </is>
      </c>
      <c r="B1454" t="inlineStr">
        <is>
          <t>Paritosh Kumar Jha</t>
        </is>
      </c>
      <c r="C1454" t="inlineStr">
        <is>
          <t>paritoshkumar.j@osmosys.co</t>
        </is>
      </c>
      <c r="D1454" t="inlineStr">
        <is>
          <t>incident-reporter</t>
        </is>
      </c>
      <c r="E1454">
        <f>HYPERLINK("http://gitlab.osmosys.co/incident-reporter/incident-reporter-angular-portal", "OQSHA Portal")</f>
        <v/>
      </c>
      <c r="F1454">
        <f>HYPERLINK("http://gitlab.osmosys.co/incident-reporter/incident-reporter-angular-portal/-/merge_requests/3408", "fix: add responsiveness to grids across portal")</f>
        <v/>
      </c>
      <c r="G1454" t="inlineStr">
        <is>
          <t>feat/add-grid-responsiveness</t>
        </is>
      </c>
      <c r="H1454" t="inlineStr">
        <is>
          <t>sprint-17</t>
        </is>
      </c>
      <c r="I1454" t="inlineStr">
        <is>
          <t>merged</t>
        </is>
      </c>
      <c r="J1454" t="inlineStr">
        <is>
          <t>799abc94bb887477447b85b0de3e6646b30d9c3e</t>
        </is>
      </c>
      <c r="K1454">
        <f>HYPERLINK("http://gitlab.osmosys.co/incident-reporter/incident-reporter-angular-portal/-/merge_requests/3408#note_236083", "![image.png](/uploads/4f2e9de274846db4de5b771bbd40a0b1/image.png){width=1514 height=949}
When I try to add it globally - the dt-control cell hieght is not defined thus it cant be centered, so for now going forward with component scss styling")</f>
        <v/>
      </c>
      <c r="L1454" t="inlineStr">
        <is>
          <t>2025-07-14 15:16:30.741 IST</t>
        </is>
      </c>
      <c r="M1454" t="inlineStr">
        <is>
          <t>Paritosh Kumar Jha</t>
        </is>
      </c>
      <c r="N1454" t="inlineStr">
        <is>
          <t>No</t>
        </is>
      </c>
      <c r="O1454" t="inlineStr">
        <is>
          <t>Yes</t>
        </is>
      </c>
      <c r="P1454" t="inlineStr">
        <is>
          <t>Soundariya B</t>
        </is>
      </c>
      <c r="Q1454" t="inlineStr">
        <is>
          <t>Neutral</t>
        </is>
      </c>
    </row>
    <row r="1455">
      <c r="A1455" t="inlineStr">
        <is>
          <t>paritoshkumar.j</t>
        </is>
      </c>
      <c r="B1455" t="inlineStr">
        <is>
          <t>Paritosh Kumar Jha</t>
        </is>
      </c>
      <c r="C1455" t="inlineStr">
        <is>
          <t>paritoshkumar.j@osmosys.co</t>
        </is>
      </c>
      <c r="D1455" t="inlineStr">
        <is>
          <t>incident-reporter</t>
        </is>
      </c>
      <c r="E1455">
        <f>HYPERLINK("http://gitlab.osmosys.co/incident-reporter/incident-reporter-angular-portal", "OQSHA Portal")</f>
        <v/>
      </c>
      <c r="F1455">
        <f>HYPERLINK("http://gitlab.osmosys.co/incident-reporter/incident-reporter-angular-portal/-/merge_requests/3408", "fix: add responsiveness to grids across portal")</f>
        <v/>
      </c>
      <c r="G1455" t="inlineStr">
        <is>
          <t>feat/add-grid-responsiveness</t>
        </is>
      </c>
      <c r="H1455" t="inlineStr">
        <is>
          <t>sprint-17</t>
        </is>
      </c>
      <c r="I1455" t="inlineStr">
        <is>
          <t>merged</t>
        </is>
      </c>
      <c r="J1455" t="inlineStr">
        <is>
          <t>799abc94bb887477447b85b0de3e6646b30d9c3e</t>
        </is>
      </c>
      <c r="K1455">
        <f>HYPERLINK("http://gitlab.osmosys.co/incident-reporter/incident-reporter-angular-portal/-/merge_requests/3408#note_236318", "Can you please check with Raj on this and get confirm on this because huge CSS you are using for multiple files and modules so need confirmation on this that can we do this or there will be another approach.")</f>
        <v/>
      </c>
      <c r="L1455" t="inlineStr">
        <is>
          <t>2025-07-14 17:44:16.561 IST</t>
        </is>
      </c>
      <c r="M1455" t="inlineStr">
        <is>
          <t>Soundariya B</t>
        </is>
      </c>
      <c r="N1455" t="inlineStr">
        <is>
          <t>Yes</t>
        </is>
      </c>
      <c r="O1455" t="inlineStr">
        <is>
          <t>Yes</t>
        </is>
      </c>
      <c r="P1455" t="inlineStr">
        <is>
          <t>Soundariya B</t>
        </is>
      </c>
      <c r="Q1455" t="inlineStr">
        <is>
          <t>Neutral</t>
        </is>
      </c>
    </row>
    <row r="1456">
      <c r="A1456" t="inlineStr">
        <is>
          <t>paritoshkumar.j</t>
        </is>
      </c>
      <c r="B1456" t="inlineStr">
        <is>
          <t>Paritosh Kumar Jha</t>
        </is>
      </c>
      <c r="C1456" t="inlineStr">
        <is>
          <t>paritoshkumar.j@osmosys.co</t>
        </is>
      </c>
      <c r="D1456" t="inlineStr">
        <is>
          <t>incident-reporter</t>
        </is>
      </c>
      <c r="E1456">
        <f>HYPERLINK("http://gitlab.osmosys.co/incident-reporter/incident-reporter-angular-portal", "OQSHA Portal")</f>
        <v/>
      </c>
      <c r="F1456">
        <f>HYPERLINK("http://gitlab.osmosys.co/incident-reporter/incident-reporter-angular-portal/-/merge_requests/3408", "fix: add responsiveness to grids across portal")</f>
        <v/>
      </c>
      <c r="G1456" t="inlineStr">
        <is>
          <t>feat/add-grid-responsiveness</t>
        </is>
      </c>
      <c r="H1456" t="inlineStr">
        <is>
          <t>sprint-17</t>
        </is>
      </c>
      <c r="I1456" t="inlineStr">
        <is>
          <t>merged</t>
        </is>
      </c>
      <c r="J1456" t="inlineStr">
        <is>
          <t>799abc94bb887477447b85b0de3e6646b30d9c3e</t>
        </is>
      </c>
      <c r="K1456">
        <f>HYPERLINK("http://gitlab.osmosys.co/incident-reporter/incident-reporter-angular-portal/-/merge_requests/3408#note_236319", "Yes, Paritosh discussed with me, should be ok for now.")</f>
        <v/>
      </c>
      <c r="L1456" t="inlineStr">
        <is>
          <t>2025-07-14 17:55:26.690 IST</t>
        </is>
      </c>
      <c r="M1456" t="inlineStr">
        <is>
          <t>Raj Kumar</t>
        </is>
      </c>
      <c r="N1456" t="inlineStr">
        <is>
          <t>Yes</t>
        </is>
      </c>
      <c r="O1456" t="inlineStr">
        <is>
          <t>Yes</t>
        </is>
      </c>
      <c r="P1456" t="inlineStr">
        <is>
          <t>Soundariya B</t>
        </is>
      </c>
      <c r="Q1456" t="inlineStr">
        <is>
          <t>Neutral</t>
        </is>
      </c>
    </row>
    <row r="1457">
      <c r="A1457" t="inlineStr">
        <is>
          <t>paritoshkumar.j</t>
        </is>
      </c>
      <c r="B1457" t="inlineStr">
        <is>
          <t>Paritosh Kumar Jha</t>
        </is>
      </c>
      <c r="C1457" t="inlineStr">
        <is>
          <t>paritoshkumar.j@osmosys.co</t>
        </is>
      </c>
      <c r="D1457" t="inlineStr">
        <is>
          <t>incident-reporter</t>
        </is>
      </c>
      <c r="E1457">
        <f>HYPERLINK("http://gitlab.osmosys.co/incident-reporter/incident-reporter-app", "OQSHA Mobile App")</f>
        <v/>
      </c>
      <c r="F1457">
        <f>HYPERLINK("http://gitlab.osmosys.co/incident-reporter/incident-reporter-app/-/merge_requests/1806", "fix: update task category api and adjust related components")</f>
        <v/>
      </c>
      <c r="G1457" t="inlineStr">
        <is>
          <t>feat/update-task-categ-api</t>
        </is>
      </c>
      <c r="H1457" t="inlineStr">
        <is>
          <t>sprint-17</t>
        </is>
      </c>
      <c r="I1457" t="inlineStr">
        <is>
          <t>merged</t>
        </is>
      </c>
      <c r="J1457" t="inlineStr"/>
      <c r="K1457" t="inlineStr"/>
      <c r="L1457" t="inlineStr"/>
      <c r="M1457" t="inlineStr"/>
      <c r="N1457" t="inlineStr"/>
      <c r="O1457" t="inlineStr"/>
      <c r="P1457" t="inlineStr"/>
      <c r="Q1457" t="inlineStr"/>
    </row>
    <row r="1458">
      <c r="A1458" t="inlineStr">
        <is>
          <t>paritoshkumar.j</t>
        </is>
      </c>
      <c r="B1458" t="inlineStr">
        <is>
          <t>Paritosh Kumar Jha</t>
        </is>
      </c>
      <c r="C1458" t="inlineStr">
        <is>
          <t>paritoshkumar.j@osmosys.co</t>
        </is>
      </c>
      <c r="D1458" t="inlineStr">
        <is>
          <t>incident-reporter</t>
        </is>
      </c>
      <c r="E1458">
        <f>HYPERLINK("http://gitlab.osmosys.co/incident-reporter/incident-reporter-app", "OQSHA Mobile App")</f>
        <v/>
      </c>
      <c r="F1458">
        <f>HYPERLINK("http://gitlab.osmosys.co/incident-reporter/incident-reporter-app/-/merge_requests/1791", "fix: adjust report now button styling")</f>
        <v/>
      </c>
      <c r="G1458" t="inlineStr">
        <is>
          <t>fix/report-now-btn</t>
        </is>
      </c>
      <c r="H1458" t="inlineStr">
        <is>
          <t>sprint-17</t>
        </is>
      </c>
      <c r="I1458" t="inlineStr">
        <is>
          <t>merged</t>
        </is>
      </c>
      <c r="J1458" t="inlineStr"/>
      <c r="K1458" t="inlineStr"/>
      <c r="L1458" t="inlineStr"/>
      <c r="M1458" t="inlineStr"/>
      <c r="N1458" t="inlineStr"/>
      <c r="O1458" t="inlineStr"/>
      <c r="P1458" t="inlineStr"/>
      <c r="Q1458" t="inlineStr"/>
    </row>
    <row r="1459">
      <c r="A1459" t="inlineStr">
        <is>
          <t>paritoshkumar.j</t>
        </is>
      </c>
      <c r="B1459" t="inlineStr">
        <is>
          <t>Paritosh Kumar Jha</t>
        </is>
      </c>
      <c r="C1459" t="inlineStr">
        <is>
          <t>paritoshkumar.j@osmosys.co</t>
        </is>
      </c>
      <c r="D1459" t="inlineStr">
        <is>
          <t>tgm</t>
        </is>
      </c>
      <c r="E1459">
        <f>HYPERLINK("http://gitlab.osmosys.co/tgm/guild-subcontractor-app", "Guild subcontractor App")</f>
        <v/>
      </c>
      <c r="F1459">
        <f>HYPERLINK("http://gitlab.osmosys.co/tgm/guild-subcontractor-app/-/merge_requests/109", "feat: add reusable external validation")</f>
        <v/>
      </c>
      <c r="G1459" t="inlineStr">
        <is>
          <t>feat/add-external-validation</t>
        </is>
      </c>
      <c r="H1459" t="inlineStr">
        <is>
          <t>GAL</t>
        </is>
      </c>
      <c r="I1459" t="inlineStr">
        <is>
          <t>opened</t>
        </is>
      </c>
      <c r="J1459" t="inlineStr">
        <is>
          <t>1144eb4f0e24e4acd6d56d0862a585e318e94d21</t>
        </is>
      </c>
      <c r="K1459">
        <f>HYPERLINK("http://gitlab.osmosys.co/tgm/guild-subcontractor-app/-/merge_requests/109#note_237111", "PR title is not following the git standard")</f>
        <v/>
      </c>
      <c r="L1459" t="inlineStr">
        <is>
          <t>2025-07-15 21:15:59.016 IST</t>
        </is>
      </c>
      <c r="M1459" t="inlineStr">
        <is>
          <t>Soundariya B</t>
        </is>
      </c>
      <c r="N1459" t="inlineStr">
        <is>
          <t>Yes</t>
        </is>
      </c>
      <c r="O1459" t="inlineStr">
        <is>
          <t>Yes</t>
        </is>
      </c>
      <c r="P1459" t="inlineStr">
        <is>
          <t>Soundariya B</t>
        </is>
      </c>
      <c r="Q1459" t="inlineStr">
        <is>
          <t>Bad</t>
        </is>
      </c>
    </row>
    <row r="1460">
      <c r="A1460" t="inlineStr">
        <is>
          <t>paritoshkumar.j</t>
        </is>
      </c>
      <c r="B1460" t="inlineStr">
        <is>
          <t>Paritosh Kumar Jha</t>
        </is>
      </c>
      <c r="C1460" t="inlineStr">
        <is>
          <t>paritoshkumar.j@osmosys.co</t>
        </is>
      </c>
      <c r="D1460" t="inlineStr">
        <is>
          <t>tgm</t>
        </is>
      </c>
      <c r="E1460">
        <f>HYPERLINK("http://gitlab.osmosys.co/tgm/guild-subcontractor-app", "Guild subcontractor App")</f>
        <v/>
      </c>
      <c r="F1460">
        <f>HYPERLINK("http://gitlab.osmosys.co/tgm/guild-subcontractor-app/-/merge_requests/109", "feat: add reusable external validation")</f>
        <v/>
      </c>
      <c r="G1460" t="inlineStr">
        <is>
          <t>feat/add-external-validation</t>
        </is>
      </c>
      <c r="H1460" t="inlineStr">
        <is>
          <t>GAL</t>
        </is>
      </c>
      <c r="I1460" t="inlineStr">
        <is>
          <t>opened</t>
        </is>
      </c>
      <c r="J1460" t="inlineStr">
        <is>
          <t>1144eb4f0e24e4acd6d56d0862a585e318e94d21</t>
        </is>
      </c>
      <c r="K1460">
        <f>HYPERLINK("http://gitlab.osmosys.co/tgm/guild-subcontractor-app/-/merge_requests/109#note_238070", "Updated")</f>
        <v/>
      </c>
      <c r="L1460" t="inlineStr">
        <is>
          <t>2025-07-17 10:11:08.692 IST</t>
        </is>
      </c>
      <c r="M1460" t="inlineStr">
        <is>
          <t>Paritosh Kumar Jha</t>
        </is>
      </c>
      <c r="N1460" t="inlineStr">
        <is>
          <t>No</t>
        </is>
      </c>
      <c r="O1460" t="inlineStr">
        <is>
          <t>Yes</t>
        </is>
      </c>
      <c r="P1460" t="inlineStr">
        <is>
          <t>Soundariya B</t>
        </is>
      </c>
      <c r="Q1460" t="inlineStr">
        <is>
          <t>Bad</t>
        </is>
      </c>
    </row>
    <row r="1461">
      <c r="A1461" t="inlineStr">
        <is>
          <t>paritoshkumar.j</t>
        </is>
      </c>
      <c r="B1461" t="inlineStr">
        <is>
          <t>Paritosh Kumar Jha</t>
        </is>
      </c>
      <c r="C1461" t="inlineStr">
        <is>
          <t>paritoshkumar.j@osmosys.co</t>
        </is>
      </c>
      <c r="D1461" t="inlineStr">
        <is>
          <t>tgm</t>
        </is>
      </c>
      <c r="E1461">
        <f>HYPERLINK("http://gitlab.osmosys.co/tgm/guild-subcontractor-app", "Guild subcontractor App")</f>
        <v/>
      </c>
      <c r="F1461">
        <f>HYPERLINK("http://gitlab.osmosys.co/tgm/guild-subcontractor-app/-/merge_requests/109", "feat: add reusable external validation")</f>
        <v/>
      </c>
      <c r="G1461" t="inlineStr">
        <is>
          <t>feat/add-external-validation</t>
        </is>
      </c>
      <c r="H1461" t="inlineStr">
        <is>
          <t>GAL</t>
        </is>
      </c>
      <c r="I1461" t="inlineStr">
        <is>
          <t>opened</t>
        </is>
      </c>
      <c r="J1461" t="inlineStr">
        <is>
          <t>3c061905bdbe9978de2b06a5fdb9a2ed11ced49f</t>
        </is>
      </c>
      <c r="K1461">
        <f>HYPERLINK("http://gitlab.osmosys.co/tgm/guild-subcontractor-app/-/merge_requests/109#note_237112", "it should be - emailErrorMessage?.length like other places you are doing the same check")</f>
        <v/>
      </c>
      <c r="L1461" t="inlineStr">
        <is>
          <t>2025-07-15 21:15:59.091 IST</t>
        </is>
      </c>
      <c r="M1461" t="inlineStr">
        <is>
          <t>Soundariya B</t>
        </is>
      </c>
      <c r="N1461" t="inlineStr">
        <is>
          <t>Yes</t>
        </is>
      </c>
      <c r="O1461" t="inlineStr">
        <is>
          <t>Yes</t>
        </is>
      </c>
      <c r="P1461" t="inlineStr">
        <is>
          <t>Soundariya B</t>
        </is>
      </c>
      <c r="Q1461" t="inlineStr">
        <is>
          <t>Bad</t>
        </is>
      </c>
    </row>
    <row r="1462">
      <c r="A1462" t="inlineStr">
        <is>
          <t>paritoshkumar.j</t>
        </is>
      </c>
      <c r="B1462" t="inlineStr">
        <is>
          <t>Paritosh Kumar Jha</t>
        </is>
      </c>
      <c r="C1462" t="inlineStr">
        <is>
          <t>paritoshkumar.j@osmosys.co</t>
        </is>
      </c>
      <c r="D1462" t="inlineStr">
        <is>
          <t>tgm</t>
        </is>
      </c>
      <c r="E1462">
        <f>HYPERLINK("http://gitlab.osmosys.co/tgm/guild-subcontractor-app", "Guild subcontractor App")</f>
        <v/>
      </c>
      <c r="F1462">
        <f>HYPERLINK("http://gitlab.osmosys.co/tgm/guild-subcontractor-app/-/merge_requests/109", "feat: add reusable external validation")</f>
        <v/>
      </c>
      <c r="G1462" t="inlineStr">
        <is>
          <t>feat/add-external-validation</t>
        </is>
      </c>
      <c r="H1462" t="inlineStr">
        <is>
          <t>GAL</t>
        </is>
      </c>
      <c r="I1462" t="inlineStr">
        <is>
          <t>opened</t>
        </is>
      </c>
      <c r="J1462" t="inlineStr">
        <is>
          <t>3c061905bdbe9978de2b06a5fdb9a2ed11ced49f</t>
        </is>
      </c>
      <c r="K1462">
        <f>HYPERLINK("http://gitlab.osmosys.co/tgm/guild-subcontractor-app/-/merge_requests/109#note_238110", "Updated")</f>
        <v/>
      </c>
      <c r="L1462" t="inlineStr">
        <is>
          <t>2025-07-17 11:40:51.392 IST</t>
        </is>
      </c>
      <c r="M1462" t="inlineStr">
        <is>
          <t>Paritosh Kumar Jha</t>
        </is>
      </c>
      <c r="N1462" t="inlineStr">
        <is>
          <t>No</t>
        </is>
      </c>
      <c r="O1462" t="inlineStr">
        <is>
          <t>Yes</t>
        </is>
      </c>
      <c r="P1462" t="inlineStr">
        <is>
          <t>Soundariya B</t>
        </is>
      </c>
      <c r="Q1462" t="inlineStr">
        <is>
          <t>Bad</t>
        </is>
      </c>
    </row>
    <row r="1463">
      <c r="A1463" t="inlineStr">
        <is>
          <t>paritoshkumar.j</t>
        </is>
      </c>
      <c r="B1463" t="inlineStr">
        <is>
          <t>Paritosh Kumar Jha</t>
        </is>
      </c>
      <c r="C1463" t="inlineStr">
        <is>
          <t>paritoshkumar.j@osmosys.co</t>
        </is>
      </c>
      <c r="D1463" t="inlineStr">
        <is>
          <t>tgm</t>
        </is>
      </c>
      <c r="E1463">
        <f>HYPERLINK("http://gitlab.osmosys.co/tgm/guild-subcontractor-app", "Guild subcontractor App")</f>
        <v/>
      </c>
      <c r="F1463">
        <f>HYPERLINK("http://gitlab.osmosys.co/tgm/guild-subcontractor-app/-/merge_requests/109", "feat: add reusable external validation")</f>
        <v/>
      </c>
      <c r="G1463" t="inlineStr">
        <is>
          <t>feat/add-external-validation</t>
        </is>
      </c>
      <c r="H1463" t="inlineStr">
        <is>
          <t>GAL</t>
        </is>
      </c>
      <c r="I1463" t="inlineStr">
        <is>
          <t>opened</t>
        </is>
      </c>
      <c r="J1463" t="inlineStr">
        <is>
          <t>505241e7600413a1146b4f8f936b420e769321d6</t>
        </is>
      </c>
      <c r="K1463">
        <f>HYPERLINK("http://gitlab.osmosys.co/tgm/guild-subcontractor-app/-/merge_requests/109#note_237113", "Can you remove the disabled attribute from the TS file? As there are many checks in HTML for a single attribute, it's not a good practice; instead, of please take it as a function from ts file.
And rename it - isEmailDomainCheck")</f>
        <v/>
      </c>
      <c r="L1463" t="inlineStr">
        <is>
          <t>2025-07-15 21:15:59.148 IST</t>
        </is>
      </c>
      <c r="M1463" t="inlineStr">
        <is>
          <t>Soundariya B</t>
        </is>
      </c>
      <c r="N1463" t="inlineStr">
        <is>
          <t>Yes</t>
        </is>
      </c>
      <c r="O1463" t="inlineStr">
        <is>
          <t>Yes</t>
        </is>
      </c>
      <c r="P1463" t="inlineStr">
        <is>
          <t>Soundariya B</t>
        </is>
      </c>
      <c r="Q1463" t="inlineStr">
        <is>
          <t>Bad</t>
        </is>
      </c>
    </row>
    <row r="1464">
      <c r="A1464" t="inlineStr">
        <is>
          <t>paritoshkumar.j</t>
        </is>
      </c>
      <c r="B1464" t="inlineStr">
        <is>
          <t>Paritosh Kumar Jha</t>
        </is>
      </c>
      <c r="C1464" t="inlineStr">
        <is>
          <t>paritoshkumar.j@osmosys.co</t>
        </is>
      </c>
      <c r="D1464" t="inlineStr">
        <is>
          <t>tgm</t>
        </is>
      </c>
      <c r="E1464">
        <f>HYPERLINK("http://gitlab.osmosys.co/tgm/guild-subcontractor-app", "Guild subcontractor App")</f>
        <v/>
      </c>
      <c r="F1464">
        <f>HYPERLINK("http://gitlab.osmosys.co/tgm/guild-subcontractor-app/-/merge_requests/109", "feat: add reusable external validation")</f>
        <v/>
      </c>
      <c r="G1464" t="inlineStr">
        <is>
          <t>feat/add-external-validation</t>
        </is>
      </c>
      <c r="H1464" t="inlineStr">
        <is>
          <t>GAL</t>
        </is>
      </c>
      <c r="I1464" t="inlineStr">
        <is>
          <t>opened</t>
        </is>
      </c>
      <c r="J1464" t="inlineStr">
        <is>
          <t>505241e7600413a1146b4f8f936b420e769321d6</t>
        </is>
      </c>
      <c r="K1464">
        <f>HYPERLINK("http://gitlab.osmosys.co/tgm/guild-subcontractor-app/-/merge_requests/109#note_238212", "Refactored email specific conditions and used suggested method name")</f>
        <v/>
      </c>
      <c r="L1464" t="inlineStr">
        <is>
          <t>2025-07-17 12:48:30.949 IST</t>
        </is>
      </c>
      <c r="M1464" t="inlineStr">
        <is>
          <t>Paritosh Kumar Jha</t>
        </is>
      </c>
      <c r="N1464" t="inlineStr">
        <is>
          <t>No</t>
        </is>
      </c>
      <c r="O1464" t="inlineStr">
        <is>
          <t>Yes</t>
        </is>
      </c>
      <c r="P1464" t="inlineStr">
        <is>
          <t>Soundariya B</t>
        </is>
      </c>
      <c r="Q1464" t="inlineStr">
        <is>
          <t>Bad</t>
        </is>
      </c>
    </row>
    <row r="1465">
      <c r="A1465" t="inlineStr">
        <is>
          <t>paritoshkumar.j</t>
        </is>
      </c>
      <c r="B1465" t="inlineStr">
        <is>
          <t>Paritosh Kumar Jha</t>
        </is>
      </c>
      <c r="C1465" t="inlineStr">
        <is>
          <t>paritoshkumar.j@osmosys.co</t>
        </is>
      </c>
      <c r="D1465" t="inlineStr">
        <is>
          <t>tgm</t>
        </is>
      </c>
      <c r="E1465">
        <f>HYPERLINK("http://gitlab.osmosys.co/tgm/guild-subcontractor-app", "Guild subcontractor App")</f>
        <v/>
      </c>
      <c r="F1465">
        <f>HYPERLINK("http://gitlab.osmosys.co/tgm/guild-subcontractor-app/-/merge_requests/109", "feat: add reusable external validation")</f>
        <v/>
      </c>
      <c r="G1465" t="inlineStr">
        <is>
          <t>feat/add-external-validation</t>
        </is>
      </c>
      <c r="H1465" t="inlineStr">
        <is>
          <t>GAL</t>
        </is>
      </c>
      <c r="I1465" t="inlineStr">
        <is>
          <t>opened</t>
        </is>
      </c>
      <c r="J1465" t="inlineStr">
        <is>
          <t>14f8542e5269d3f37d1faa006c0655d0d6bfa1e2</t>
        </is>
      </c>
      <c r="K1465">
        <f>HYPERLINK("http://gitlab.osmosys.co/tgm/guild-subcontractor-app/-/merge_requests/109#note_237114", "These lines of code are repeating and lead to code redundancy. Please fix it and reuse it.
Or you can take these checks from email service file so it can provide every and each email fields where or whenever it is required")</f>
        <v/>
      </c>
      <c r="L1465" t="inlineStr">
        <is>
          <t>2025-07-15 21:15:59.231 IST</t>
        </is>
      </c>
      <c r="M1465" t="inlineStr">
        <is>
          <t>Soundariya B</t>
        </is>
      </c>
      <c r="N1465" t="inlineStr">
        <is>
          <t>Yes</t>
        </is>
      </c>
      <c r="O1465" t="inlineStr">
        <is>
          <t>Yes</t>
        </is>
      </c>
      <c r="P1465" t="inlineStr">
        <is>
          <t>Soundariya B</t>
        </is>
      </c>
      <c r="Q1465" t="inlineStr">
        <is>
          <t>Neutral</t>
        </is>
      </c>
    </row>
    <row r="1466">
      <c r="A1466" t="inlineStr">
        <is>
          <t>paritoshkumar.j</t>
        </is>
      </c>
      <c r="B1466" t="inlineStr">
        <is>
          <t>Paritosh Kumar Jha</t>
        </is>
      </c>
      <c r="C1466" t="inlineStr">
        <is>
          <t>paritoshkumar.j@osmosys.co</t>
        </is>
      </c>
      <c r="D1466" t="inlineStr">
        <is>
          <t>tgm</t>
        </is>
      </c>
      <c r="E1466">
        <f>HYPERLINK("http://gitlab.osmosys.co/tgm/guild-subcontractor-app", "Guild subcontractor App")</f>
        <v/>
      </c>
      <c r="F1466">
        <f>HYPERLINK("http://gitlab.osmosys.co/tgm/guild-subcontractor-app/-/merge_requests/109", "feat: add reusable external validation")</f>
        <v/>
      </c>
      <c r="G1466" t="inlineStr">
        <is>
          <t>feat/add-external-validation</t>
        </is>
      </c>
      <c r="H1466" t="inlineStr">
        <is>
          <t>GAL</t>
        </is>
      </c>
      <c r="I1466" t="inlineStr">
        <is>
          <t>opened</t>
        </is>
      </c>
      <c r="J1466" t="inlineStr">
        <is>
          <t>14f8542e5269d3f37d1faa006c0655d0d6bfa1e2</t>
        </is>
      </c>
      <c r="K1466">
        <f>HYPERLINK("http://gitlab.osmosys.co/tgm/guild-subcontractor-app/-/merge_requests/109#note_238145", "We are directly manipulating the variables on the component. I have created a separate component but I believe it should stay in the component logic only as even if we move it still there will be code redundancy.")</f>
        <v/>
      </c>
      <c r="L1466" t="inlineStr">
        <is>
          <t>2025-07-17 12:18:18.005 IST</t>
        </is>
      </c>
      <c r="M1466" t="inlineStr">
        <is>
          <t>Paritosh Kumar Jha</t>
        </is>
      </c>
      <c r="N1466" t="inlineStr">
        <is>
          <t>No</t>
        </is>
      </c>
      <c r="O1466" t="inlineStr">
        <is>
          <t>Yes</t>
        </is>
      </c>
      <c r="P1466" t="inlineStr">
        <is>
          <t>Soundariya B</t>
        </is>
      </c>
      <c r="Q1466" t="inlineStr">
        <is>
          <t>Neutral</t>
        </is>
      </c>
    </row>
    <row r="1467">
      <c r="A1467" t="inlineStr">
        <is>
          <t>paritoshkumar.j</t>
        </is>
      </c>
      <c r="B1467" t="inlineStr">
        <is>
          <t>Paritosh Kumar Jha</t>
        </is>
      </c>
      <c r="C1467" t="inlineStr">
        <is>
          <t>paritoshkumar.j@osmosys.co</t>
        </is>
      </c>
      <c r="D1467" t="inlineStr">
        <is>
          <t>tgm</t>
        </is>
      </c>
      <c r="E1467">
        <f>HYPERLINK("http://gitlab.osmosys.co/tgm/guild-subcontractor-app", "Guild subcontractor App")</f>
        <v/>
      </c>
      <c r="F1467">
        <f>HYPERLINK("http://gitlab.osmosys.co/tgm/guild-subcontractor-app/-/merge_requests/109", "feat: add reusable external validation")</f>
        <v/>
      </c>
      <c r="G1467" t="inlineStr">
        <is>
          <t>feat/add-external-validation</t>
        </is>
      </c>
      <c r="H1467" t="inlineStr">
        <is>
          <t>GAL</t>
        </is>
      </c>
      <c r="I1467" t="inlineStr">
        <is>
          <t>opened</t>
        </is>
      </c>
      <c r="J1467" t="inlineStr">
        <is>
          <t>cb84f009226e6bb586d08725d9ae95085748c5ca</t>
        </is>
      </c>
      <c r="K1467">
        <f>HYPERLINK("http://gitlab.osmosys.co/tgm/guild-subcontractor-app/-/merge_requests/109#note_237115", "What code? please make it respErrorCode")</f>
        <v/>
      </c>
      <c r="L1467" t="inlineStr">
        <is>
          <t>2025-07-15 21:15:59.310 IST</t>
        </is>
      </c>
      <c r="M1467" t="inlineStr">
        <is>
          <t>Soundariya B</t>
        </is>
      </c>
      <c r="N1467" t="inlineStr">
        <is>
          <t>Yes</t>
        </is>
      </c>
      <c r="O1467" t="inlineStr">
        <is>
          <t>Yes</t>
        </is>
      </c>
      <c r="P1467" t="inlineStr">
        <is>
          <t>Soundariya B</t>
        </is>
      </c>
      <c r="Q1467" t="inlineStr">
        <is>
          <t>Bad</t>
        </is>
      </c>
    </row>
    <row r="1468">
      <c r="A1468" t="inlineStr">
        <is>
          <t>paritoshkumar.j</t>
        </is>
      </c>
      <c r="B1468" t="inlineStr">
        <is>
          <t>Paritosh Kumar Jha</t>
        </is>
      </c>
      <c r="C1468" t="inlineStr">
        <is>
          <t>paritoshkumar.j@osmosys.co</t>
        </is>
      </c>
      <c r="D1468" t="inlineStr">
        <is>
          <t>tgm</t>
        </is>
      </c>
      <c r="E1468">
        <f>HYPERLINK("http://gitlab.osmosys.co/tgm/guild-subcontractor-app", "Guild subcontractor App")</f>
        <v/>
      </c>
      <c r="F1468">
        <f>HYPERLINK("http://gitlab.osmosys.co/tgm/guild-subcontractor-app/-/merge_requests/109", "feat: add reusable external validation")</f>
        <v/>
      </c>
      <c r="G1468" t="inlineStr">
        <is>
          <t>feat/add-external-validation</t>
        </is>
      </c>
      <c r="H1468" t="inlineStr">
        <is>
          <t>GAL</t>
        </is>
      </c>
      <c r="I1468" t="inlineStr">
        <is>
          <t>opened</t>
        </is>
      </c>
      <c r="J1468" t="inlineStr">
        <is>
          <t>cb84f009226e6bb586d08725d9ae95085748c5ca</t>
        </is>
      </c>
      <c r="K1468">
        <f>HYPERLINK("http://gitlab.osmosys.co/tgm/guild-subcontractor-app/-/merge_requests/109#note_238146", "Updated")</f>
        <v/>
      </c>
      <c r="L1468" t="inlineStr">
        <is>
          <t>2025-07-17 12:18:35.719 IST</t>
        </is>
      </c>
      <c r="M1468" t="inlineStr">
        <is>
          <t>Paritosh Kumar Jha</t>
        </is>
      </c>
      <c r="N1468" t="inlineStr">
        <is>
          <t>No</t>
        </is>
      </c>
      <c r="O1468" t="inlineStr">
        <is>
          <t>Yes</t>
        </is>
      </c>
      <c r="P1468" t="inlineStr">
        <is>
          <t>Soundariya B</t>
        </is>
      </c>
      <c r="Q1468" t="inlineStr">
        <is>
          <t>Bad</t>
        </is>
      </c>
    </row>
    <row r="1469">
      <c r="A1469" t="inlineStr">
        <is>
          <t>paritoshkumar.j</t>
        </is>
      </c>
      <c r="B1469" t="inlineStr">
        <is>
          <t>Paritosh Kumar Jha</t>
        </is>
      </c>
      <c r="C1469" t="inlineStr">
        <is>
          <t>paritoshkumar.j@osmosys.co</t>
        </is>
      </c>
      <c r="D1469" t="inlineStr">
        <is>
          <t>tgm</t>
        </is>
      </c>
      <c r="E1469">
        <f>HYPERLINK("http://gitlab.osmosys.co/tgm/guild-subcontractor-app", "Guild subcontractor App")</f>
        <v/>
      </c>
      <c r="F1469">
        <f>HYPERLINK("http://gitlab.osmosys.co/tgm/guild-subcontractor-app/-/merge_requests/109", "feat: add reusable external validation")</f>
        <v/>
      </c>
      <c r="G1469" t="inlineStr">
        <is>
          <t>feat/add-external-validation</t>
        </is>
      </c>
      <c r="H1469" t="inlineStr">
        <is>
          <t>GAL</t>
        </is>
      </c>
      <c r="I1469" t="inlineStr">
        <is>
          <t>opened</t>
        </is>
      </c>
      <c r="J1469" t="inlineStr">
        <is>
          <t>6bccf409242b1e91fb21d7a4be98cce4d7af3134</t>
        </is>
      </c>
      <c r="K1469">
        <f>HYPERLINK("http://gitlab.osmosys.co/tgm/guild-subcontractor-app/-/merge_requests/109#note_237116", "I suggest you use a different message, like 'Email address does not exist'. So the user can get an idea why the email is invalid after adding the correct formatted email. 
Madhavi said we should show different errors in both cases")</f>
        <v/>
      </c>
      <c r="L1469" t="inlineStr">
        <is>
          <t>2025-07-15 21:15:59.363 IST</t>
        </is>
      </c>
      <c r="M1469" t="inlineStr">
        <is>
          <t>Soundariya B</t>
        </is>
      </c>
      <c r="N1469" t="inlineStr">
        <is>
          <t>Yes</t>
        </is>
      </c>
      <c r="O1469" t="inlineStr">
        <is>
          <t>Yes</t>
        </is>
      </c>
      <c r="P1469" t="inlineStr">
        <is>
          <t>Soundariya B</t>
        </is>
      </c>
      <c r="Q1469" t="inlineStr">
        <is>
          <t>Bad</t>
        </is>
      </c>
    </row>
    <row r="1470">
      <c r="A1470" t="inlineStr">
        <is>
          <t>paritoshkumar.j</t>
        </is>
      </c>
      <c r="B1470" t="inlineStr">
        <is>
          <t>Paritosh Kumar Jha</t>
        </is>
      </c>
      <c r="C1470" t="inlineStr">
        <is>
          <t>paritoshkumar.j@osmosys.co</t>
        </is>
      </c>
      <c r="D1470" t="inlineStr">
        <is>
          <t>tgm</t>
        </is>
      </c>
      <c r="E1470">
        <f>HYPERLINK("http://gitlab.osmosys.co/tgm/guild-subcontractor-app", "Guild subcontractor App")</f>
        <v/>
      </c>
      <c r="F1470">
        <f>HYPERLINK("http://gitlab.osmosys.co/tgm/guild-subcontractor-app/-/merge_requests/109", "feat: add reusable external validation")</f>
        <v/>
      </c>
      <c r="G1470" t="inlineStr">
        <is>
          <t>feat/add-external-validation</t>
        </is>
      </c>
      <c r="H1470" t="inlineStr">
        <is>
          <t>GAL</t>
        </is>
      </c>
      <c r="I1470" t="inlineStr">
        <is>
          <t>opened</t>
        </is>
      </c>
      <c r="J1470" t="inlineStr">
        <is>
          <t>6bccf409242b1e91fb21d7a4be98cce4d7af3134</t>
        </is>
      </c>
      <c r="K1470">
        <f>HYPERLINK("http://gitlab.osmosys.co/tgm/guild-subcontractor-app/-/merge_requests/109#note_238147", "Updated")</f>
        <v/>
      </c>
      <c r="L1470" t="inlineStr">
        <is>
          <t>2025-07-17 12:18:43.501 IST</t>
        </is>
      </c>
      <c r="M1470" t="inlineStr">
        <is>
          <t>Paritosh Kumar Jha</t>
        </is>
      </c>
      <c r="N1470" t="inlineStr">
        <is>
          <t>No</t>
        </is>
      </c>
      <c r="O1470" t="inlineStr">
        <is>
          <t>Yes</t>
        </is>
      </c>
      <c r="P1470" t="inlineStr">
        <is>
          <t>Soundariya B</t>
        </is>
      </c>
      <c r="Q1470" t="inlineStr">
        <is>
          <t>Bad</t>
        </is>
      </c>
    </row>
    <row r="1471">
      <c r="A1471" t="inlineStr">
        <is>
          <t>paritoshkumar.j</t>
        </is>
      </c>
      <c r="B1471" t="inlineStr">
        <is>
          <t>Paritosh Kumar Jha</t>
        </is>
      </c>
      <c r="C1471" t="inlineStr">
        <is>
          <t>paritoshkumar.j@osmosys.co</t>
        </is>
      </c>
      <c r="D1471" t="inlineStr">
        <is>
          <t>tgm</t>
        </is>
      </c>
      <c r="E1471">
        <f>HYPERLINK("http://gitlab.osmosys.co/tgm/guild-subcontractor-app", "Guild subcontractor App")</f>
        <v/>
      </c>
      <c r="F1471">
        <f>HYPERLINK("http://gitlab.osmosys.co/tgm/guild-subcontractor-app/-/merge_requests/109", "feat: add reusable external validation")</f>
        <v/>
      </c>
      <c r="G1471" t="inlineStr">
        <is>
          <t>feat/add-external-validation</t>
        </is>
      </c>
      <c r="H1471" t="inlineStr">
        <is>
          <t>GAL</t>
        </is>
      </c>
      <c r="I1471" t="inlineStr">
        <is>
          <t>opened</t>
        </is>
      </c>
      <c r="J1471" t="inlineStr">
        <is>
          <t>caab1cd28579d4ed75ad663229d12ac5e2117019</t>
        </is>
      </c>
      <c r="K1471">
        <f>HYPERLINK("http://gitlab.osmosys.co/tgm/guild-subcontractor-app/-/merge_requests/109#note_237117", "Why this required here I didn't get it?")</f>
        <v/>
      </c>
      <c r="L1471" t="inlineStr">
        <is>
          <t>2025-07-15 21:15:59.415 IST</t>
        </is>
      </c>
      <c r="M1471" t="inlineStr">
        <is>
          <t>Soundariya B</t>
        </is>
      </c>
      <c r="N1471" t="inlineStr">
        <is>
          <t>Yes</t>
        </is>
      </c>
      <c r="O1471" t="inlineStr">
        <is>
          <t>Yes</t>
        </is>
      </c>
      <c r="P1471" t="inlineStr">
        <is>
          <t>Soundariya B</t>
        </is>
      </c>
      <c r="Q1471" t="inlineStr">
        <is>
          <t>Neutral</t>
        </is>
      </c>
    </row>
    <row r="1472">
      <c r="A1472" t="inlineStr">
        <is>
          <t>paritoshkumar.j</t>
        </is>
      </c>
      <c r="B1472" t="inlineStr">
        <is>
          <t>Paritosh Kumar Jha</t>
        </is>
      </c>
      <c r="C1472" t="inlineStr">
        <is>
          <t>paritoshkumar.j@osmosys.co</t>
        </is>
      </c>
      <c r="D1472" t="inlineStr">
        <is>
          <t>tgm</t>
        </is>
      </c>
      <c r="E1472">
        <f>HYPERLINK("http://gitlab.osmosys.co/tgm/guild-subcontractor-app", "Guild subcontractor App")</f>
        <v/>
      </c>
      <c r="F1472">
        <f>HYPERLINK("http://gitlab.osmosys.co/tgm/guild-subcontractor-app/-/merge_requests/109", "feat: add reusable external validation")</f>
        <v/>
      </c>
      <c r="G1472" t="inlineStr">
        <is>
          <t>feat/add-external-validation</t>
        </is>
      </c>
      <c r="H1472" t="inlineStr">
        <is>
          <t>GAL</t>
        </is>
      </c>
      <c r="I1472" t="inlineStr">
        <is>
          <t>opened</t>
        </is>
      </c>
      <c r="J1472" t="inlineStr">
        <is>
          <t>caab1cd28579d4ed75ad663229d12ac5e2117019</t>
        </is>
      </c>
      <c r="K1472">
        <f>HYPERLINK("http://gitlab.osmosys.co/tgm/guild-subcontractor-app/-/merge_requests/109#note_238148", "Please clarify on this comment")</f>
        <v/>
      </c>
      <c r="L1472" t="inlineStr">
        <is>
          <t>2025-07-17 12:18:48.254 IST</t>
        </is>
      </c>
      <c r="M1472" t="inlineStr">
        <is>
          <t>Paritosh Kumar Jha</t>
        </is>
      </c>
      <c r="N1472" t="inlineStr">
        <is>
          <t>No</t>
        </is>
      </c>
      <c r="O1472" t="inlineStr">
        <is>
          <t>Yes</t>
        </is>
      </c>
      <c r="P1472" t="inlineStr">
        <is>
          <t>Soundariya B</t>
        </is>
      </c>
      <c r="Q1472" t="inlineStr">
        <is>
          <t>Neutral</t>
        </is>
      </c>
    </row>
    <row r="1473">
      <c r="A1473" t="inlineStr">
        <is>
          <t>paritoshkumar.j</t>
        </is>
      </c>
      <c r="B1473" t="inlineStr">
        <is>
          <t>Paritosh Kumar Jha</t>
        </is>
      </c>
      <c r="C1473" t="inlineStr">
        <is>
          <t>paritoshkumar.j@osmosys.co</t>
        </is>
      </c>
      <c r="D1473" t="inlineStr">
        <is>
          <t>tgm</t>
        </is>
      </c>
      <c r="E1473">
        <f>HYPERLINK("http://gitlab.osmosys.co/tgm/guild-subcontractor-app", "Guild subcontractor App")</f>
        <v/>
      </c>
      <c r="F1473">
        <f>HYPERLINK("http://gitlab.osmosys.co/tgm/guild-subcontractor-app/-/merge_requests/109", "feat: add reusable external validation")</f>
        <v/>
      </c>
      <c r="G1473" t="inlineStr">
        <is>
          <t>feat/add-external-validation</t>
        </is>
      </c>
      <c r="H1473" t="inlineStr">
        <is>
          <t>GAL</t>
        </is>
      </c>
      <c r="I1473" t="inlineStr">
        <is>
          <t>opened</t>
        </is>
      </c>
      <c r="J1473" t="inlineStr">
        <is>
          <t>caab1cd28579d4ed75ad663229d12ac5e2117019</t>
        </is>
      </c>
      <c r="K1473">
        <f>HYPERLINK("http://gitlab.osmosys.co/tgm/guild-subcontractor-app/-/merge_requests/109#note_238559", "Throw new Error() I asked about this")</f>
        <v/>
      </c>
      <c r="L1473" t="inlineStr">
        <is>
          <t>2025-07-17 17:53:26.930 IST</t>
        </is>
      </c>
      <c r="M1473" t="inlineStr">
        <is>
          <t>Soundariya B</t>
        </is>
      </c>
      <c r="N1473" t="inlineStr">
        <is>
          <t>Yes</t>
        </is>
      </c>
      <c r="O1473" t="inlineStr">
        <is>
          <t>Yes</t>
        </is>
      </c>
      <c r="P1473" t="inlineStr">
        <is>
          <t>Soundariya B</t>
        </is>
      </c>
      <c r="Q1473" t="inlineStr">
        <is>
          <t>Neutral</t>
        </is>
      </c>
    </row>
    <row r="1474">
      <c r="A1474" t="inlineStr">
        <is>
          <t>paritoshkumar.j</t>
        </is>
      </c>
      <c r="B1474" t="inlineStr">
        <is>
          <t>Paritosh Kumar Jha</t>
        </is>
      </c>
      <c r="C1474" t="inlineStr">
        <is>
          <t>paritoshkumar.j@osmosys.co</t>
        </is>
      </c>
      <c r="D1474" t="inlineStr">
        <is>
          <t>tgm</t>
        </is>
      </c>
      <c r="E1474">
        <f>HYPERLINK("http://gitlab.osmosys.co/tgm/guild-subcontractor-app", "Guild subcontractor App")</f>
        <v/>
      </c>
      <c r="F1474">
        <f>HYPERLINK("http://gitlab.osmosys.co/tgm/guild-subcontractor-app/-/merge_requests/109", "feat: add reusable external validation")</f>
        <v/>
      </c>
      <c r="G1474" t="inlineStr">
        <is>
          <t>feat/add-external-validation</t>
        </is>
      </c>
      <c r="H1474" t="inlineStr">
        <is>
          <t>GAL</t>
        </is>
      </c>
      <c r="I1474" t="inlineStr">
        <is>
          <t>opened</t>
        </is>
      </c>
      <c r="J1474" t="inlineStr">
        <is>
          <t>caab1cd28579d4ed75ad663229d12ac5e2117019</t>
        </is>
      </c>
      <c r="K1474">
        <f>HYPERLINK("http://gitlab.osmosys.co/tgm/guild-subcontractor-app/-/merge_requests/109#note_238563", "To send it to error block to show the toast message")</f>
        <v/>
      </c>
      <c r="L1474" t="inlineStr">
        <is>
          <t>2025-07-17 18:02:44.951 IST</t>
        </is>
      </c>
      <c r="M1474" t="inlineStr">
        <is>
          <t>Paritosh Kumar Jha</t>
        </is>
      </c>
      <c r="N1474" t="inlineStr">
        <is>
          <t>No</t>
        </is>
      </c>
      <c r="O1474" t="inlineStr">
        <is>
          <t>Yes</t>
        </is>
      </c>
      <c r="P1474" t="inlineStr">
        <is>
          <t>Soundariya B</t>
        </is>
      </c>
      <c r="Q1474" t="inlineStr">
        <is>
          <t>Neutral</t>
        </is>
      </c>
    </row>
    <row r="1475">
      <c r="A1475" t="inlineStr">
        <is>
          <t>paritoshkumar.j</t>
        </is>
      </c>
      <c r="B1475" t="inlineStr">
        <is>
          <t>Paritosh Kumar Jha</t>
        </is>
      </c>
      <c r="C1475" t="inlineStr">
        <is>
          <t>paritoshkumar.j@osmosys.co</t>
        </is>
      </c>
      <c r="D1475" t="inlineStr">
        <is>
          <t>tgm</t>
        </is>
      </c>
      <c r="E1475">
        <f>HYPERLINK("http://gitlab.osmosys.co/tgm/guild-subcontractor-app", "Guild subcontractor App")</f>
        <v/>
      </c>
      <c r="F1475">
        <f>HYPERLINK("http://gitlab.osmosys.co/tgm/guild-subcontractor-app/-/merge_requests/109", "feat: add reusable external validation")</f>
        <v/>
      </c>
      <c r="G1475" t="inlineStr">
        <is>
          <t>feat/add-external-validation</t>
        </is>
      </c>
      <c r="H1475" t="inlineStr">
        <is>
          <t>GAL</t>
        </is>
      </c>
      <c r="I1475" t="inlineStr">
        <is>
          <t>opened</t>
        </is>
      </c>
      <c r="J1475" t="inlineStr">
        <is>
          <t>e30c5fe0fcfefddb6b56632329d3e338e8333abb</t>
        </is>
      </c>
      <c r="K1475">
        <f>HYPERLINK("http://gitlab.osmosys.co/tgm/guild-subcontractor-app/-/merge_requests/109#note_237118", "Instead of this can't we use loader while validating and api running because sometime the network will slow so user have an idea then something is processing so can you show a loader which says 'Verifying email address, please wait...'")</f>
        <v/>
      </c>
      <c r="L1475" t="inlineStr">
        <is>
          <t>2025-07-15 21:15:59.466 IST</t>
        </is>
      </c>
      <c r="M1475" t="inlineStr">
        <is>
          <t>Soundariya B</t>
        </is>
      </c>
      <c r="N1475" t="inlineStr">
        <is>
          <t>Yes</t>
        </is>
      </c>
      <c r="O1475" t="inlineStr">
        <is>
          <t>Yes</t>
        </is>
      </c>
      <c r="P1475" t="inlineStr">
        <is>
          <t>Soundariya B</t>
        </is>
      </c>
      <c r="Q1475" t="inlineStr">
        <is>
          <t>Bad</t>
        </is>
      </c>
    </row>
    <row r="1476">
      <c r="A1476" t="inlineStr">
        <is>
          <t>paritoshkumar.j</t>
        </is>
      </c>
      <c r="B1476" t="inlineStr">
        <is>
          <t>Paritosh Kumar Jha</t>
        </is>
      </c>
      <c r="C1476" t="inlineStr">
        <is>
          <t>paritoshkumar.j@osmosys.co</t>
        </is>
      </c>
      <c r="D1476" t="inlineStr">
        <is>
          <t>tgm</t>
        </is>
      </c>
      <c r="E1476">
        <f>HYPERLINK("http://gitlab.osmosys.co/tgm/guild-subcontractor-app", "Guild subcontractor App")</f>
        <v/>
      </c>
      <c r="F1476">
        <f>HYPERLINK("http://gitlab.osmosys.co/tgm/guild-subcontractor-app/-/merge_requests/109", "feat: add reusable external validation")</f>
        <v/>
      </c>
      <c r="G1476" t="inlineStr">
        <is>
          <t>feat/add-external-validation</t>
        </is>
      </c>
      <c r="H1476" t="inlineStr">
        <is>
          <t>GAL</t>
        </is>
      </c>
      <c r="I1476" t="inlineStr">
        <is>
          <t>opened</t>
        </is>
      </c>
      <c r="J1476" t="inlineStr">
        <is>
          <t>e30c5fe0fcfefddb6b56632329d3e338e8333abb</t>
        </is>
      </c>
      <c r="K1476">
        <f>HYPERLINK("http://gitlab.osmosys.co/tgm/guild-subcontractor-app/-/merge_requests/109#note_238149", "This part of code is being used for validating the regex and clearing errors - for loader we need to have a separate logic. This is new requirement which should be informed prior not in review comment, as a lot of things need to discussed regarding it. It should be considered as a feature improvement task.")</f>
        <v/>
      </c>
      <c r="L1476" t="inlineStr">
        <is>
          <t>2025-07-17 12:22:28.020 IST</t>
        </is>
      </c>
      <c r="M1476" t="inlineStr">
        <is>
          <t>Paritosh Kumar Jha</t>
        </is>
      </c>
      <c r="N1476" t="inlineStr">
        <is>
          <t>No</t>
        </is>
      </c>
      <c r="O1476" t="inlineStr">
        <is>
          <t>Yes</t>
        </is>
      </c>
      <c r="P1476" t="inlineStr">
        <is>
          <t>Soundariya B</t>
        </is>
      </c>
      <c r="Q1476" t="inlineStr">
        <is>
          <t>Bad</t>
        </is>
      </c>
    </row>
    <row r="1477">
      <c r="A1477" t="inlineStr">
        <is>
          <t>paritoshkumar.j</t>
        </is>
      </c>
      <c r="B1477" t="inlineStr">
        <is>
          <t>Paritosh Kumar Jha</t>
        </is>
      </c>
      <c r="C1477" t="inlineStr">
        <is>
          <t>paritoshkumar.j@osmosys.co</t>
        </is>
      </c>
      <c r="D1477" t="inlineStr">
        <is>
          <t>tgm</t>
        </is>
      </c>
      <c r="E1477">
        <f>HYPERLINK("http://gitlab.osmosys.co/tgm/guild-subcontractor-app", "Guild subcontractor App")</f>
        <v/>
      </c>
      <c r="F1477">
        <f>HYPERLINK("http://gitlab.osmosys.co/tgm/guild-subcontractor-app/-/merge_requests/109", "feat: add reusable external validation")</f>
        <v/>
      </c>
      <c r="G1477" t="inlineStr">
        <is>
          <t>feat/add-external-validation</t>
        </is>
      </c>
      <c r="H1477" t="inlineStr">
        <is>
          <t>GAL</t>
        </is>
      </c>
      <c r="I1477" t="inlineStr">
        <is>
          <t>opened</t>
        </is>
      </c>
      <c r="J1477" t="inlineStr">
        <is>
          <t>e30c5fe0fcfefddb6b56632329d3e338e8333abb</t>
        </is>
      </c>
      <c r="K1477">
        <f>HYPERLINK("http://gitlab.osmosys.co/tgm/guild-subcontractor-app/-/merge_requests/109#note_238561", "You should think about loader while implementing instead of using manual flags but its fine for now I will check with Madhavi for this for the slow network case anyway it will work smoothly now.")</f>
        <v/>
      </c>
      <c r="L1477" t="inlineStr">
        <is>
          <t>2025-07-17 17:57:47.147 IST</t>
        </is>
      </c>
      <c r="M1477" t="inlineStr">
        <is>
          <t>Soundariya B</t>
        </is>
      </c>
      <c r="N1477" t="inlineStr">
        <is>
          <t>Yes</t>
        </is>
      </c>
      <c r="O1477" t="inlineStr">
        <is>
          <t>Yes</t>
        </is>
      </c>
      <c r="P1477" t="inlineStr">
        <is>
          <t>Soundariya B</t>
        </is>
      </c>
      <c r="Q1477" t="inlineStr">
        <is>
          <t>Bad</t>
        </is>
      </c>
    </row>
    <row r="1478">
      <c r="A1478" t="inlineStr">
        <is>
          <t>paritoshkumar.j</t>
        </is>
      </c>
      <c r="B1478" t="inlineStr">
        <is>
          <t>Paritosh Kumar Jha</t>
        </is>
      </c>
      <c r="C1478" t="inlineStr">
        <is>
          <t>paritoshkumar.j@osmosys.co</t>
        </is>
      </c>
      <c r="D1478" t="inlineStr">
        <is>
          <t>tgm</t>
        </is>
      </c>
      <c r="E1478">
        <f>HYPERLINK("http://gitlab.osmosys.co/tgm/guild-subcontractor-app", "Guild subcontractor App")</f>
        <v/>
      </c>
      <c r="F1478">
        <f>HYPERLINK("http://gitlab.osmosys.co/tgm/guild-subcontractor-app/-/merge_requests/109", "feat: add reusable external validation")</f>
        <v/>
      </c>
      <c r="G1478" t="inlineStr">
        <is>
          <t>feat/add-external-validation</t>
        </is>
      </c>
      <c r="H1478" t="inlineStr">
        <is>
          <t>GAL</t>
        </is>
      </c>
      <c r="I1478" t="inlineStr">
        <is>
          <t>opened</t>
        </is>
      </c>
      <c r="J1478" t="inlineStr">
        <is>
          <t>2926aada075bfb82530d66ba146efe3abe7030b8</t>
        </is>
      </c>
      <c r="K1478">
        <f>HYPERLINK("http://gitlab.osmosys.co/tgm/guild-subcontractor-app/-/merge_requests/109#note_237119", "Instead of this can't we use loader while validating and api running because sometime the network will slow so user have an idea then something is processing so can you show a loader which says 'Verifying email address, please wait...'")</f>
        <v/>
      </c>
      <c r="L1478" t="inlineStr">
        <is>
          <t>2025-07-15 21:15:59.530 IST</t>
        </is>
      </c>
      <c r="M1478" t="inlineStr">
        <is>
          <t>Soundariya B</t>
        </is>
      </c>
      <c r="N1478" t="inlineStr">
        <is>
          <t>Yes</t>
        </is>
      </c>
      <c r="O1478" t="inlineStr">
        <is>
          <t>Yes</t>
        </is>
      </c>
      <c r="P1478" t="inlineStr">
        <is>
          <t>Soundariya B</t>
        </is>
      </c>
      <c r="Q1478" t="inlineStr">
        <is>
          <t>Bad</t>
        </is>
      </c>
    </row>
    <row r="1479">
      <c r="A1479" t="inlineStr">
        <is>
          <t>paritoshkumar.j</t>
        </is>
      </c>
      <c r="B1479" t="inlineStr">
        <is>
          <t>Paritosh Kumar Jha</t>
        </is>
      </c>
      <c r="C1479" t="inlineStr">
        <is>
          <t>paritoshkumar.j@osmosys.co</t>
        </is>
      </c>
      <c r="D1479" t="inlineStr">
        <is>
          <t>tgm</t>
        </is>
      </c>
      <c r="E1479">
        <f>HYPERLINK("http://gitlab.osmosys.co/tgm/guild-subcontractor-app", "Guild subcontractor App")</f>
        <v/>
      </c>
      <c r="F1479">
        <f>HYPERLINK("http://gitlab.osmosys.co/tgm/guild-subcontractor-app/-/merge_requests/109", "feat: add reusable external validation")</f>
        <v/>
      </c>
      <c r="G1479" t="inlineStr">
        <is>
          <t>feat/add-external-validation</t>
        </is>
      </c>
      <c r="H1479" t="inlineStr">
        <is>
          <t>GAL</t>
        </is>
      </c>
      <c r="I1479" t="inlineStr">
        <is>
          <t>opened</t>
        </is>
      </c>
      <c r="J1479" t="inlineStr">
        <is>
          <t>2926aada075bfb82530d66ba146efe3abe7030b8</t>
        </is>
      </c>
      <c r="K1479">
        <f>HYPERLINK("http://gitlab.osmosys.co/tgm/guild-subcontractor-app/-/merge_requests/109#note_238150", "Duplicate comment")</f>
        <v/>
      </c>
      <c r="L1479" t="inlineStr">
        <is>
          <t>2025-07-17 12:23:05.218 IST</t>
        </is>
      </c>
      <c r="M1479" t="inlineStr">
        <is>
          <t>Paritosh Kumar Jha</t>
        </is>
      </c>
      <c r="N1479" t="inlineStr">
        <is>
          <t>No</t>
        </is>
      </c>
      <c r="O1479" t="inlineStr">
        <is>
          <t>Yes</t>
        </is>
      </c>
      <c r="P1479" t="inlineStr">
        <is>
          <t>Soundariya B</t>
        </is>
      </c>
      <c r="Q1479" t="inlineStr">
        <is>
          <t>Bad</t>
        </is>
      </c>
    </row>
    <row r="1480">
      <c r="A1480" t="inlineStr">
        <is>
          <t>paritoshkumar.j</t>
        </is>
      </c>
      <c r="B1480" t="inlineStr">
        <is>
          <t>Paritosh Kumar Jha</t>
        </is>
      </c>
      <c r="C1480" t="inlineStr">
        <is>
          <t>paritoshkumar.j@osmosys.co</t>
        </is>
      </c>
      <c r="D1480" t="inlineStr">
        <is>
          <t>tgm</t>
        </is>
      </c>
      <c r="E1480">
        <f>HYPERLINK("http://gitlab.osmosys.co/tgm/guild-subcontractor-app", "Guild subcontractor App")</f>
        <v/>
      </c>
      <c r="F1480">
        <f>HYPERLINK("http://gitlab.osmosys.co/tgm/guild-subcontractor-app/-/merge_requests/109", "feat: add reusable external validation")</f>
        <v/>
      </c>
      <c r="G1480" t="inlineStr">
        <is>
          <t>feat/add-external-validation</t>
        </is>
      </c>
      <c r="H1480" t="inlineStr">
        <is>
          <t>GAL</t>
        </is>
      </c>
      <c r="I1480" t="inlineStr">
        <is>
          <t>opened</t>
        </is>
      </c>
      <c r="J1480" t="inlineStr">
        <is>
          <t>2926aada075bfb82530d66ba146efe3abe7030b8</t>
        </is>
      </c>
      <c r="K1480">
        <f>HYPERLINK("http://gitlab.osmosys.co/tgm/guild-subcontractor-app/-/merge_requests/109#note_238562", "You should think about loader while implementing instead of using manual flags but its fine for now I will check with Madhavi for this for the slow network case anyway it will work smoothly now.")</f>
        <v/>
      </c>
      <c r="L1480" t="inlineStr">
        <is>
          <t>2025-07-17 17:58:42.898 IST</t>
        </is>
      </c>
      <c r="M1480" t="inlineStr">
        <is>
          <t>Soundariya B</t>
        </is>
      </c>
      <c r="N1480" t="inlineStr">
        <is>
          <t>Yes</t>
        </is>
      </c>
      <c r="O1480" t="inlineStr">
        <is>
          <t>Yes</t>
        </is>
      </c>
      <c r="P1480" t="inlineStr">
        <is>
          <t>Soundariya B</t>
        </is>
      </c>
      <c r="Q1480" t="inlineStr">
        <is>
          <t>Bad</t>
        </is>
      </c>
    </row>
    <row r="1481">
      <c r="A1481" t="inlineStr">
        <is>
          <t>paritoshkumar.j</t>
        </is>
      </c>
      <c r="B1481" t="inlineStr">
        <is>
          <t>Paritosh Kumar Jha</t>
        </is>
      </c>
      <c r="C1481" t="inlineStr">
        <is>
          <t>paritoshkumar.j@osmosys.co</t>
        </is>
      </c>
      <c r="D1481" t="inlineStr">
        <is>
          <t>tgm</t>
        </is>
      </c>
      <c r="E1481">
        <f>HYPERLINK("http://gitlab.osmosys.co/tgm/guild-subcontractor-app", "Guild subcontractor App")</f>
        <v/>
      </c>
      <c r="F1481">
        <f>HYPERLINK("http://gitlab.osmosys.co/tgm/guild-subcontractor-app/-/merge_requests/109", "feat: add reusable external validation")</f>
        <v/>
      </c>
      <c r="G1481" t="inlineStr">
        <is>
          <t>feat/add-external-validation</t>
        </is>
      </c>
      <c r="H1481" t="inlineStr">
        <is>
          <t>GAL</t>
        </is>
      </c>
      <c r="I1481" t="inlineStr">
        <is>
          <t>opened</t>
        </is>
      </c>
      <c r="J1481" t="inlineStr">
        <is>
          <t>8759953d02d63b56735bedcc7e054c64a0db281f</t>
        </is>
      </c>
      <c r="K1481">
        <f>HYPERLINK("http://gitlab.osmosys.co/tgm/guild-subcontractor-app/-/merge_requests/109#note_237120", "These lines of code are repeating and lead to code redundancy. Please fix it and reuse it.
Or you can take these checks from email service file so it can provide every and each email fields where or whenever it is required")</f>
        <v/>
      </c>
      <c r="L1481" t="inlineStr">
        <is>
          <t>2025-07-15 21:15:59.584 IST</t>
        </is>
      </c>
      <c r="M1481" t="inlineStr">
        <is>
          <t>Soundariya B</t>
        </is>
      </c>
      <c r="N1481" t="inlineStr">
        <is>
          <t>Yes</t>
        </is>
      </c>
      <c r="O1481" t="inlineStr">
        <is>
          <t>Yes</t>
        </is>
      </c>
      <c r="P1481" t="inlineStr">
        <is>
          <t>Soundariya B</t>
        </is>
      </c>
      <c r="Q1481" t="inlineStr">
        <is>
          <t>Neutral</t>
        </is>
      </c>
    </row>
    <row r="1482">
      <c r="A1482" t="inlineStr">
        <is>
          <t>paritoshkumar.j</t>
        </is>
      </c>
      <c r="B1482" t="inlineStr">
        <is>
          <t>Paritosh Kumar Jha</t>
        </is>
      </c>
      <c r="C1482" t="inlineStr">
        <is>
          <t>paritoshkumar.j@osmosys.co</t>
        </is>
      </c>
      <c r="D1482" t="inlineStr">
        <is>
          <t>tgm</t>
        </is>
      </c>
      <c r="E1482">
        <f>HYPERLINK("http://gitlab.osmosys.co/tgm/guild-subcontractor-app", "Guild subcontractor App")</f>
        <v/>
      </c>
      <c r="F1482">
        <f>HYPERLINK("http://gitlab.osmosys.co/tgm/guild-subcontractor-app/-/merge_requests/109", "feat: add reusable external validation")</f>
        <v/>
      </c>
      <c r="G1482" t="inlineStr">
        <is>
          <t>feat/add-external-validation</t>
        </is>
      </c>
      <c r="H1482" t="inlineStr">
        <is>
          <t>GAL</t>
        </is>
      </c>
      <c r="I1482" t="inlineStr">
        <is>
          <t>opened</t>
        </is>
      </c>
      <c r="J1482" t="inlineStr">
        <is>
          <t>8759953d02d63b56735bedcc7e054c64a0db281f</t>
        </is>
      </c>
      <c r="K1482">
        <f>HYPERLINK("http://gitlab.osmosys.co/tgm/guild-subcontractor-app/-/merge_requests/109#note_238151", "Duplicate comment - as this thing was already mentioned above for one file.")</f>
        <v/>
      </c>
      <c r="L1482" t="inlineStr">
        <is>
          <t>2025-07-17 12:23:42.926 IST</t>
        </is>
      </c>
      <c r="M1482" t="inlineStr">
        <is>
          <t>Paritosh Kumar Jha</t>
        </is>
      </c>
      <c r="N1482" t="inlineStr">
        <is>
          <t>No</t>
        </is>
      </c>
      <c r="O1482" t="inlineStr">
        <is>
          <t>Yes</t>
        </is>
      </c>
      <c r="P1482" t="inlineStr">
        <is>
          <t>Soundariya B</t>
        </is>
      </c>
      <c r="Q1482" t="inlineStr">
        <is>
          <t>Neutral</t>
        </is>
      </c>
    </row>
    <row r="1483">
      <c r="A1483" t="inlineStr">
        <is>
          <t>paritoshkumar.j</t>
        </is>
      </c>
      <c r="B1483" t="inlineStr">
        <is>
          <t>Paritosh Kumar Jha</t>
        </is>
      </c>
      <c r="C1483" t="inlineStr">
        <is>
          <t>paritoshkumar.j@osmosys.co</t>
        </is>
      </c>
      <c r="D1483" t="inlineStr">
        <is>
          <t>tgm</t>
        </is>
      </c>
      <c r="E1483">
        <f>HYPERLINK("http://gitlab.osmosys.co/tgm/guild-subcontractor-app", "Guild subcontractor App")</f>
        <v/>
      </c>
      <c r="F1483">
        <f>HYPERLINK("http://gitlab.osmosys.co/tgm/guild-subcontractor-app/-/merge_requests/109", "feat: add reusable external validation")</f>
        <v/>
      </c>
      <c r="G1483" t="inlineStr">
        <is>
          <t>feat/add-external-validation</t>
        </is>
      </c>
      <c r="H1483" t="inlineStr">
        <is>
          <t>GAL</t>
        </is>
      </c>
      <c r="I1483" t="inlineStr">
        <is>
          <t>opened</t>
        </is>
      </c>
      <c r="J1483" t="inlineStr">
        <is>
          <t>efc499d93c341a1e16c54eb65f405c44cd8e8a97</t>
        </is>
      </c>
      <c r="K1483">
        <f>HYPERLINK("http://gitlab.osmosys.co/tgm/guild-subcontractor-app/-/merge_requests/109#note_237121", "What code? please make it respErrorCode")</f>
        <v/>
      </c>
      <c r="L1483" t="inlineStr">
        <is>
          <t>2025-07-15 21:15:59.638 IST</t>
        </is>
      </c>
      <c r="M1483" t="inlineStr">
        <is>
          <t>Soundariya B</t>
        </is>
      </c>
      <c r="N1483" t="inlineStr">
        <is>
          <t>Yes</t>
        </is>
      </c>
      <c r="O1483" t="inlineStr">
        <is>
          <t>Yes</t>
        </is>
      </c>
      <c r="P1483" t="inlineStr">
        <is>
          <t>Soundariya B</t>
        </is>
      </c>
      <c r="Q1483" t="inlineStr">
        <is>
          <t>Neutral</t>
        </is>
      </c>
    </row>
    <row r="1484">
      <c r="A1484" t="inlineStr">
        <is>
          <t>paritoshkumar.j</t>
        </is>
      </c>
      <c r="B1484" t="inlineStr">
        <is>
          <t>Paritosh Kumar Jha</t>
        </is>
      </c>
      <c r="C1484" t="inlineStr">
        <is>
          <t>paritoshkumar.j@osmosys.co</t>
        </is>
      </c>
      <c r="D1484" t="inlineStr">
        <is>
          <t>tgm</t>
        </is>
      </c>
      <c r="E1484">
        <f>HYPERLINK("http://gitlab.osmosys.co/tgm/guild-subcontractor-app", "Guild subcontractor App")</f>
        <v/>
      </c>
      <c r="F1484">
        <f>HYPERLINK("http://gitlab.osmosys.co/tgm/guild-subcontractor-app/-/merge_requests/109", "feat: add reusable external validation")</f>
        <v/>
      </c>
      <c r="G1484" t="inlineStr">
        <is>
          <t>feat/add-external-validation</t>
        </is>
      </c>
      <c r="H1484" t="inlineStr">
        <is>
          <t>GAL</t>
        </is>
      </c>
      <c r="I1484" t="inlineStr">
        <is>
          <t>opened</t>
        </is>
      </c>
      <c r="J1484" t="inlineStr">
        <is>
          <t>efc499d93c341a1e16c54eb65f405c44cd8e8a97</t>
        </is>
      </c>
      <c r="K1484">
        <f>HYPERLINK("http://gitlab.osmosys.co/tgm/guild-subcontractor-app/-/merge_requests/109#note_238152", "Duplicate comment")</f>
        <v/>
      </c>
      <c r="L1484" t="inlineStr">
        <is>
          <t>2025-07-17 12:24:17.573 IST</t>
        </is>
      </c>
      <c r="M1484" t="inlineStr">
        <is>
          <t>Paritosh Kumar Jha</t>
        </is>
      </c>
      <c r="N1484" t="inlineStr">
        <is>
          <t>No</t>
        </is>
      </c>
      <c r="O1484" t="inlineStr">
        <is>
          <t>Yes</t>
        </is>
      </c>
      <c r="P1484" t="inlineStr">
        <is>
          <t>Soundariya B</t>
        </is>
      </c>
      <c r="Q1484" t="inlineStr">
        <is>
          <t>Neutral</t>
        </is>
      </c>
    </row>
    <row r="1485">
      <c r="A1485" t="inlineStr">
        <is>
          <t>paritoshkumar.j</t>
        </is>
      </c>
      <c r="B1485" t="inlineStr">
        <is>
          <t>Paritosh Kumar Jha</t>
        </is>
      </c>
      <c r="C1485" t="inlineStr">
        <is>
          <t>paritoshkumar.j@osmosys.co</t>
        </is>
      </c>
      <c r="D1485" t="inlineStr">
        <is>
          <t>tgm</t>
        </is>
      </c>
      <c r="E1485">
        <f>HYPERLINK("http://gitlab.osmosys.co/tgm/guild-subcontractor-app", "Guild subcontractor App")</f>
        <v/>
      </c>
      <c r="F1485">
        <f>HYPERLINK("http://gitlab.osmosys.co/tgm/guild-subcontractor-app/-/merge_requests/109", "feat: add reusable external validation")</f>
        <v/>
      </c>
      <c r="G1485" t="inlineStr">
        <is>
          <t>feat/add-external-validation</t>
        </is>
      </c>
      <c r="H1485" t="inlineStr">
        <is>
          <t>GAL</t>
        </is>
      </c>
      <c r="I1485" t="inlineStr">
        <is>
          <t>opened</t>
        </is>
      </c>
      <c r="J1485" t="inlineStr">
        <is>
          <t>b7e50dbb1808c7da023e5ab108b254acb518c0cc</t>
        </is>
      </c>
      <c r="K1485">
        <f>HYPERLINK("http://gitlab.osmosys.co/tgm/guild-subcontractor-app/-/merge_requests/109#note_237122", "I suggest you use a different message, like 'Email address does not exist'. So the user can get an idea why the email is invalid after adding the correct formatted email.
Madhavi said we should show different errors in both cases")</f>
        <v/>
      </c>
      <c r="L1485" t="inlineStr">
        <is>
          <t>2025-07-15 21:15:59.694 IST</t>
        </is>
      </c>
      <c r="M1485" t="inlineStr">
        <is>
          <t>Soundariya B</t>
        </is>
      </c>
      <c r="N1485" t="inlineStr">
        <is>
          <t>Yes</t>
        </is>
      </c>
      <c r="O1485" t="inlineStr">
        <is>
          <t>Yes</t>
        </is>
      </c>
      <c r="P1485" t="inlineStr">
        <is>
          <t>Soundariya B</t>
        </is>
      </c>
      <c r="Q1485" t="inlineStr">
        <is>
          <t>Bad</t>
        </is>
      </c>
    </row>
    <row r="1486">
      <c r="A1486" t="inlineStr">
        <is>
          <t>paritoshkumar.j</t>
        </is>
      </c>
      <c r="B1486" t="inlineStr">
        <is>
          <t>Paritosh Kumar Jha</t>
        </is>
      </c>
      <c r="C1486" t="inlineStr">
        <is>
          <t>paritoshkumar.j@osmosys.co</t>
        </is>
      </c>
      <c r="D1486" t="inlineStr">
        <is>
          <t>tgm</t>
        </is>
      </c>
      <c r="E1486">
        <f>HYPERLINK("http://gitlab.osmosys.co/tgm/guild-subcontractor-app", "Guild subcontractor App")</f>
        <v/>
      </c>
      <c r="F1486">
        <f>HYPERLINK("http://gitlab.osmosys.co/tgm/guild-subcontractor-app/-/merge_requests/109", "feat: add reusable external validation")</f>
        <v/>
      </c>
      <c r="G1486" t="inlineStr">
        <is>
          <t>feat/add-external-validation</t>
        </is>
      </c>
      <c r="H1486" t="inlineStr">
        <is>
          <t>GAL</t>
        </is>
      </c>
      <c r="I1486" t="inlineStr">
        <is>
          <t>opened</t>
        </is>
      </c>
      <c r="J1486" t="inlineStr">
        <is>
          <t>b7e50dbb1808c7da023e5ab108b254acb518c0cc</t>
        </is>
      </c>
      <c r="K1486">
        <f>HYPERLINK("http://gitlab.osmosys.co/tgm/guild-subcontractor-app/-/merge_requests/109#note_238153", "Duplicate comment")</f>
        <v/>
      </c>
      <c r="L1486" t="inlineStr">
        <is>
          <t>2025-07-17 12:26:35.812 IST</t>
        </is>
      </c>
      <c r="M1486" t="inlineStr">
        <is>
          <t>Paritosh Kumar Jha</t>
        </is>
      </c>
      <c r="N1486" t="inlineStr">
        <is>
          <t>No</t>
        </is>
      </c>
      <c r="O1486" t="inlineStr">
        <is>
          <t>Yes</t>
        </is>
      </c>
      <c r="P1486" t="inlineStr">
        <is>
          <t>Soundariya B</t>
        </is>
      </c>
      <c r="Q1486" t="inlineStr">
        <is>
          <t>Bad</t>
        </is>
      </c>
    </row>
    <row r="1487">
      <c r="A1487" t="inlineStr">
        <is>
          <t>paritoshkumar.j</t>
        </is>
      </c>
      <c r="B1487" t="inlineStr">
        <is>
          <t>Paritosh Kumar Jha</t>
        </is>
      </c>
      <c r="C1487" t="inlineStr">
        <is>
          <t>paritoshkumar.j@osmosys.co</t>
        </is>
      </c>
      <c r="D1487" t="inlineStr">
        <is>
          <t>tgm</t>
        </is>
      </c>
      <c r="E1487">
        <f>HYPERLINK("http://gitlab.osmosys.co/tgm/guild-subcontractor-app", "Guild subcontractor App")</f>
        <v/>
      </c>
      <c r="F1487">
        <f>HYPERLINK("http://gitlab.osmosys.co/tgm/guild-subcontractor-app/-/merge_requests/109", "feat: add reusable external validation")</f>
        <v/>
      </c>
      <c r="G1487" t="inlineStr">
        <is>
          <t>feat/add-external-validation</t>
        </is>
      </c>
      <c r="H1487" t="inlineStr">
        <is>
          <t>GAL</t>
        </is>
      </c>
      <c r="I1487" t="inlineStr">
        <is>
          <t>opened</t>
        </is>
      </c>
      <c r="J1487" t="inlineStr">
        <is>
          <t>443a2083dcc1c05ce96f955922fce1f68156774f</t>
        </is>
      </c>
      <c r="K1487">
        <f>HYPERLINK("http://gitlab.osmosys.co/tgm/guild-subcontractor-app/-/merge_requests/109#note_237123", "Why this required here I didn't get it?")</f>
        <v/>
      </c>
      <c r="L1487" t="inlineStr">
        <is>
          <t>2025-07-15 21:15:59.747 IST</t>
        </is>
      </c>
      <c r="M1487" t="inlineStr">
        <is>
          <t>Soundariya B</t>
        </is>
      </c>
      <c r="N1487" t="inlineStr">
        <is>
          <t>Yes</t>
        </is>
      </c>
      <c r="O1487" t="inlineStr">
        <is>
          <t>Yes</t>
        </is>
      </c>
      <c r="P1487" t="inlineStr">
        <is>
          <t>Soundariya B</t>
        </is>
      </c>
      <c r="Q1487" t="inlineStr">
        <is>
          <t>Neutral</t>
        </is>
      </c>
    </row>
    <row r="1488">
      <c r="A1488" t="inlineStr">
        <is>
          <t>paritoshkumar.j</t>
        </is>
      </c>
      <c r="B1488" t="inlineStr">
        <is>
          <t>Paritosh Kumar Jha</t>
        </is>
      </c>
      <c r="C1488" t="inlineStr">
        <is>
          <t>paritoshkumar.j@osmosys.co</t>
        </is>
      </c>
      <c r="D1488" t="inlineStr">
        <is>
          <t>tgm</t>
        </is>
      </c>
      <c r="E1488">
        <f>HYPERLINK("http://gitlab.osmosys.co/tgm/guild-subcontractor-app", "Guild subcontractor App")</f>
        <v/>
      </c>
      <c r="F1488">
        <f>HYPERLINK("http://gitlab.osmosys.co/tgm/guild-subcontractor-app/-/merge_requests/109", "feat: add reusable external validation")</f>
        <v/>
      </c>
      <c r="G1488" t="inlineStr">
        <is>
          <t>feat/add-external-validation</t>
        </is>
      </c>
      <c r="H1488" t="inlineStr">
        <is>
          <t>GAL</t>
        </is>
      </c>
      <c r="I1488" t="inlineStr">
        <is>
          <t>opened</t>
        </is>
      </c>
      <c r="J1488" t="inlineStr">
        <is>
          <t>443a2083dcc1c05ce96f955922fce1f68156774f</t>
        </is>
      </c>
      <c r="K1488">
        <f>HYPERLINK("http://gitlab.osmosys.co/tgm/guild-subcontractor-app/-/merge_requests/109#note_238154", "Duplicate comment")</f>
        <v/>
      </c>
      <c r="L1488" t="inlineStr">
        <is>
          <t>2025-07-17 12:26:58.766 IST</t>
        </is>
      </c>
      <c r="M1488" t="inlineStr">
        <is>
          <t>Paritosh Kumar Jha</t>
        </is>
      </c>
      <c r="N1488" t="inlineStr">
        <is>
          <t>No</t>
        </is>
      </c>
      <c r="O1488" t="inlineStr">
        <is>
          <t>Yes</t>
        </is>
      </c>
      <c r="P1488" t="inlineStr">
        <is>
          <t>Soundariya B</t>
        </is>
      </c>
      <c r="Q1488" t="inlineStr">
        <is>
          <t>Neutral</t>
        </is>
      </c>
    </row>
    <row r="1489">
      <c r="A1489" t="inlineStr">
        <is>
          <t>paritoshkumar.j</t>
        </is>
      </c>
      <c r="B1489" t="inlineStr">
        <is>
          <t>Paritosh Kumar Jha</t>
        </is>
      </c>
      <c r="C1489" t="inlineStr">
        <is>
          <t>paritoshkumar.j@osmosys.co</t>
        </is>
      </c>
      <c r="D1489" t="inlineStr">
        <is>
          <t>tgm</t>
        </is>
      </c>
      <c r="E1489">
        <f>HYPERLINK("http://gitlab.osmosys.co/tgm/guild-subcontractor-app", "Guild subcontractor App")</f>
        <v/>
      </c>
      <c r="F1489">
        <f>HYPERLINK("http://gitlab.osmosys.co/tgm/guild-subcontractor-app/-/merge_requests/109", "feat: add reusable external validation")</f>
        <v/>
      </c>
      <c r="G1489" t="inlineStr">
        <is>
          <t>feat/add-external-validation</t>
        </is>
      </c>
      <c r="H1489" t="inlineStr">
        <is>
          <t>GAL</t>
        </is>
      </c>
      <c r="I1489" t="inlineStr">
        <is>
          <t>opened</t>
        </is>
      </c>
      <c r="J1489" t="inlineStr">
        <is>
          <t>d9634f99a0cbce149692f3d6b9b04b3879512811</t>
        </is>
      </c>
      <c r="K1489">
        <f>HYPERLINK("http://gitlab.osmosys.co/tgm/guild-subcontractor-app/-/merge_requests/109#note_237124", "Can you remove the disabled attribute from the TS file? As there are many checks in HTML for a single attribute, it's not a good practice; instead, of please take it as a function from ts file.
And rename it - isEmailDomainCheck")</f>
        <v/>
      </c>
      <c r="L1489" t="inlineStr">
        <is>
          <t>2025-07-15 21:15:59.833 IST</t>
        </is>
      </c>
      <c r="M1489" t="inlineStr">
        <is>
          <t>Soundariya B</t>
        </is>
      </c>
      <c r="N1489" t="inlineStr">
        <is>
          <t>Yes</t>
        </is>
      </c>
      <c r="O1489" t="inlineStr">
        <is>
          <t>Yes</t>
        </is>
      </c>
      <c r="P1489" t="inlineStr">
        <is>
          <t>Soundariya B</t>
        </is>
      </c>
      <c r="Q1489" t="inlineStr">
        <is>
          <t>Neutral</t>
        </is>
      </c>
    </row>
    <row r="1490">
      <c r="A1490" t="inlineStr">
        <is>
          <t>paritoshkumar.j</t>
        </is>
      </c>
      <c r="B1490" t="inlineStr">
        <is>
          <t>Paritosh Kumar Jha</t>
        </is>
      </c>
      <c r="C1490" t="inlineStr">
        <is>
          <t>paritoshkumar.j@osmosys.co</t>
        </is>
      </c>
      <c r="D1490" t="inlineStr">
        <is>
          <t>tgm</t>
        </is>
      </c>
      <c r="E1490">
        <f>HYPERLINK("http://gitlab.osmosys.co/tgm/guild-subcontractor-app", "Guild subcontractor App")</f>
        <v/>
      </c>
      <c r="F1490">
        <f>HYPERLINK("http://gitlab.osmosys.co/tgm/guild-subcontractor-app/-/merge_requests/109", "feat: add reusable external validation")</f>
        <v/>
      </c>
      <c r="G1490" t="inlineStr">
        <is>
          <t>feat/add-external-validation</t>
        </is>
      </c>
      <c r="H1490" t="inlineStr">
        <is>
          <t>GAL</t>
        </is>
      </c>
      <c r="I1490" t="inlineStr">
        <is>
          <t>opened</t>
        </is>
      </c>
      <c r="J1490" t="inlineStr">
        <is>
          <t>d9634f99a0cbce149692f3d6b9b04b3879512811</t>
        </is>
      </c>
      <c r="K1490">
        <f>HYPERLINK("http://gitlab.osmosys.co/tgm/guild-subcontractor-app/-/merge_requests/109#note_238155", "Duplicate comment")</f>
        <v/>
      </c>
      <c r="L1490" t="inlineStr">
        <is>
          <t>2025-07-17 12:27:23.088 IST</t>
        </is>
      </c>
      <c r="M1490" t="inlineStr">
        <is>
          <t>Paritosh Kumar Jha</t>
        </is>
      </c>
      <c r="N1490" t="inlineStr">
        <is>
          <t>No</t>
        </is>
      </c>
      <c r="O1490" t="inlineStr">
        <is>
          <t>Yes</t>
        </is>
      </c>
      <c r="P1490" t="inlineStr">
        <is>
          <t>Soundariya B</t>
        </is>
      </c>
      <c r="Q1490" t="inlineStr">
        <is>
          <t>Neutral</t>
        </is>
      </c>
    </row>
    <row r="1491">
      <c r="A1491" t="inlineStr">
        <is>
          <t>paritoshkumar.j</t>
        </is>
      </c>
      <c r="B1491" t="inlineStr">
        <is>
          <t>Paritosh Kumar Jha</t>
        </is>
      </c>
      <c r="C1491" t="inlineStr">
        <is>
          <t>paritoshkumar.j@osmosys.co</t>
        </is>
      </c>
      <c r="D1491" t="inlineStr">
        <is>
          <t>tgm</t>
        </is>
      </c>
      <c r="E1491">
        <f>HYPERLINK("http://gitlab.osmosys.co/tgm/guild-subcontractor-app", "Guild subcontractor App")</f>
        <v/>
      </c>
      <c r="F1491">
        <f>HYPERLINK("http://gitlab.osmosys.co/tgm/guild-subcontractor-app/-/merge_requests/109", "feat: add reusable external validation")</f>
        <v/>
      </c>
      <c r="G1491" t="inlineStr">
        <is>
          <t>feat/add-external-validation</t>
        </is>
      </c>
      <c r="H1491" t="inlineStr">
        <is>
          <t>GAL</t>
        </is>
      </c>
      <c r="I1491" t="inlineStr">
        <is>
          <t>opened</t>
        </is>
      </c>
      <c r="J1491" t="inlineStr">
        <is>
          <t>95573fe86e5f21ffddf9737e247c1e09e0bf48f0</t>
        </is>
      </c>
      <c r="K1491">
        <f>HYPERLINK("http://gitlab.osmosys.co/tgm/guild-subcontractor-app/-/merge_requests/109#note_237125", "Where is the Timeout? I clearly said to add timeout of 10000 ms as per the requirement
And also don't do as static or fixed please do it as dynamic so later we can change the timeout dynamically for different modules")</f>
        <v/>
      </c>
      <c r="L1491" t="inlineStr">
        <is>
          <t>2025-07-15 21:15:59.909 IST</t>
        </is>
      </c>
      <c r="M1491" t="inlineStr">
        <is>
          <t>Soundariya B</t>
        </is>
      </c>
      <c r="N1491" t="inlineStr">
        <is>
          <t>Yes</t>
        </is>
      </c>
      <c r="O1491" t="inlineStr">
        <is>
          <t>Yes</t>
        </is>
      </c>
      <c r="P1491" t="inlineStr">
        <is>
          <t>Soundariya B</t>
        </is>
      </c>
      <c r="Q1491" t="inlineStr">
        <is>
          <t>Bad</t>
        </is>
      </c>
    </row>
    <row r="1492">
      <c r="A1492" t="inlineStr">
        <is>
          <t>paritoshkumar.j</t>
        </is>
      </c>
      <c r="B1492" t="inlineStr">
        <is>
          <t>Paritosh Kumar Jha</t>
        </is>
      </c>
      <c r="C1492" t="inlineStr">
        <is>
          <t>paritoshkumar.j@osmosys.co</t>
        </is>
      </c>
      <c r="D1492" t="inlineStr">
        <is>
          <t>tgm</t>
        </is>
      </c>
      <c r="E1492">
        <f>HYPERLINK("http://gitlab.osmosys.co/tgm/guild-subcontractor-app", "Guild subcontractor App")</f>
        <v/>
      </c>
      <c r="F1492">
        <f>HYPERLINK("http://gitlab.osmosys.co/tgm/guild-subcontractor-app/-/merge_requests/109", "feat: add reusable external validation")</f>
        <v/>
      </c>
      <c r="G1492" t="inlineStr">
        <is>
          <t>feat/add-external-validation</t>
        </is>
      </c>
      <c r="H1492" t="inlineStr">
        <is>
          <t>GAL</t>
        </is>
      </c>
      <c r="I1492" t="inlineStr">
        <is>
          <t>opened</t>
        </is>
      </c>
      <c r="J1492" t="inlineStr">
        <is>
          <t>95573fe86e5f21ffddf9737e247c1e09e0bf48f0</t>
        </is>
      </c>
      <c r="K1492">
        <f>HYPERLINK("http://gitlab.osmosys.co/tgm/guild-subcontractor-app/-/merge_requests/109#note_238409", "Updated")</f>
        <v/>
      </c>
      <c r="L1492" t="inlineStr">
        <is>
          <t>2025-07-17 15:48:02.310 IST</t>
        </is>
      </c>
      <c r="M1492" t="inlineStr">
        <is>
          <t>Paritosh Kumar Jha</t>
        </is>
      </c>
      <c r="N1492" t="inlineStr">
        <is>
          <t>No</t>
        </is>
      </c>
      <c r="O1492" t="inlineStr">
        <is>
          <t>Yes</t>
        </is>
      </c>
      <c r="P1492" t="inlineStr">
        <is>
          <t>Soundariya B</t>
        </is>
      </c>
      <c r="Q1492" t="inlineStr">
        <is>
          <t>Bad</t>
        </is>
      </c>
    </row>
    <row r="1493">
      <c r="A1493" t="inlineStr">
        <is>
          <t>paritoshkumar.j</t>
        </is>
      </c>
      <c r="B1493" t="inlineStr">
        <is>
          <t>Paritosh Kumar Jha</t>
        </is>
      </c>
      <c r="C1493" t="inlineStr">
        <is>
          <t>paritoshkumar.j@osmosys.co</t>
        </is>
      </c>
      <c r="D1493" t="inlineStr">
        <is>
          <t>tgm</t>
        </is>
      </c>
      <c r="E1493">
        <f>HYPERLINK("http://gitlab.osmosys.co/tgm/guild-subcontractor-app", "Guild subcontractor App")</f>
        <v/>
      </c>
      <c r="F1493">
        <f>HYPERLINK("http://gitlab.osmosys.co/tgm/guild-subcontractor-app/-/merge_requests/109", "feat: add reusable external validation")</f>
        <v/>
      </c>
      <c r="G1493" t="inlineStr">
        <is>
          <t>feat/add-external-validation</t>
        </is>
      </c>
      <c r="H1493" t="inlineStr">
        <is>
          <t>GAL</t>
        </is>
      </c>
      <c r="I1493" t="inlineStr">
        <is>
          <t>opened</t>
        </is>
      </c>
      <c r="J1493" t="inlineStr">
        <is>
          <t>6508478e48567f7360e60b31c56076a61bca4b3a</t>
        </is>
      </c>
      <c r="K1493">
        <f>HYPERLINK("http://gitlab.osmosys.co/tgm/guild-subcontractor-app/-/merge_requests/109#note_237126", "It should be - 'We couldn’t validate your email at the moment. Please try again shortly.'")</f>
        <v/>
      </c>
      <c r="L1493" t="inlineStr">
        <is>
          <t>2025-07-15 21:15:59.986 IST</t>
        </is>
      </c>
      <c r="M1493" t="inlineStr">
        <is>
          <t>Soundariya B</t>
        </is>
      </c>
      <c r="N1493" t="inlineStr">
        <is>
          <t>Yes</t>
        </is>
      </c>
      <c r="O1493" t="inlineStr">
        <is>
          <t>Yes</t>
        </is>
      </c>
      <c r="P1493" t="inlineStr">
        <is>
          <t>Soundariya B</t>
        </is>
      </c>
      <c r="Q1493" t="inlineStr">
        <is>
          <t>Bad</t>
        </is>
      </c>
    </row>
    <row r="1494">
      <c r="A1494" t="inlineStr">
        <is>
          <t>paritoshkumar.j</t>
        </is>
      </c>
      <c r="B1494" t="inlineStr">
        <is>
          <t>Paritosh Kumar Jha</t>
        </is>
      </c>
      <c r="C1494" t="inlineStr">
        <is>
          <t>paritoshkumar.j@osmosys.co</t>
        </is>
      </c>
      <c r="D1494" t="inlineStr">
        <is>
          <t>tgm</t>
        </is>
      </c>
      <c r="E1494">
        <f>HYPERLINK("http://gitlab.osmosys.co/tgm/guild-subcontractor-app", "Guild subcontractor App")</f>
        <v/>
      </c>
      <c r="F1494">
        <f>HYPERLINK("http://gitlab.osmosys.co/tgm/guild-subcontractor-app/-/merge_requests/109", "feat: add reusable external validation")</f>
        <v/>
      </c>
      <c r="G1494" t="inlineStr">
        <is>
          <t>feat/add-external-validation</t>
        </is>
      </c>
      <c r="H1494" t="inlineStr">
        <is>
          <t>GAL</t>
        </is>
      </c>
      <c r="I1494" t="inlineStr">
        <is>
          <t>opened</t>
        </is>
      </c>
      <c r="J1494" t="inlineStr">
        <is>
          <t>6508478e48567f7360e60b31c56076a61bca4b3a</t>
        </is>
      </c>
      <c r="K1494">
        <f>HYPERLINK("http://gitlab.osmosys.co/tgm/guild-subcontractor-app/-/merge_requests/109#note_238156", "Updated")</f>
        <v/>
      </c>
      <c r="L1494" t="inlineStr">
        <is>
          <t>2025-07-17 12:27:58.904 IST</t>
        </is>
      </c>
      <c r="M1494" t="inlineStr">
        <is>
          <t>Paritosh Kumar Jha</t>
        </is>
      </c>
      <c r="N1494" t="inlineStr">
        <is>
          <t>No</t>
        </is>
      </c>
      <c r="O1494" t="inlineStr">
        <is>
          <t>Yes</t>
        </is>
      </c>
      <c r="P1494" t="inlineStr">
        <is>
          <t>Soundariya B</t>
        </is>
      </c>
      <c r="Q1494" t="inlineStr">
        <is>
          <t>Bad</t>
        </is>
      </c>
    </row>
    <row r="1495">
      <c r="A1495" t="inlineStr">
        <is>
          <t>paritoshkumar.j</t>
        </is>
      </c>
      <c r="B1495" t="inlineStr">
        <is>
          <t>Paritosh Kumar Jha</t>
        </is>
      </c>
      <c r="C1495" t="inlineStr">
        <is>
          <t>paritoshkumar.j@osmosys.co</t>
        </is>
      </c>
      <c r="D1495" t="inlineStr">
        <is>
          <t>tgm</t>
        </is>
      </c>
      <c r="E1495">
        <f>HYPERLINK("http://gitlab.osmosys.co/tgm/guild-subcontractor-app", "Guild subcontractor App")</f>
        <v/>
      </c>
      <c r="F1495">
        <f>HYPERLINK("http://gitlab.osmosys.co/tgm/guild-subcontractor-app/-/merge_requests/109", "feat: add reusable external validation")</f>
        <v/>
      </c>
      <c r="G1495" t="inlineStr">
        <is>
          <t>feat/add-external-validation</t>
        </is>
      </c>
      <c r="H1495" t="inlineStr">
        <is>
          <t>GAL</t>
        </is>
      </c>
      <c r="I1495" t="inlineStr">
        <is>
          <t>opened</t>
        </is>
      </c>
      <c r="J1495" t="inlineStr">
        <is>
          <t>1411cb194cfe17cd74509f400484e0ddd859f2c9</t>
        </is>
      </c>
      <c r="K1495">
        <f>HYPERLINK("http://gitlab.osmosys.co/tgm/guild-subcontractor-app/-/merge_requests/109#note_237127", "You can use the key as single don't need to use 2 times here please, make it single variable name as externalApiKey")</f>
        <v/>
      </c>
      <c r="L1495" t="inlineStr">
        <is>
          <t>2025-07-15 21:16:00.053 IST</t>
        </is>
      </c>
      <c r="M1495" t="inlineStr">
        <is>
          <t>Soundariya B</t>
        </is>
      </c>
      <c r="N1495" t="inlineStr">
        <is>
          <t>Yes</t>
        </is>
      </c>
      <c r="O1495" t="inlineStr">
        <is>
          <t>Yes</t>
        </is>
      </c>
      <c r="P1495" t="inlineStr">
        <is>
          <t>Soundariya B</t>
        </is>
      </c>
      <c r="Q1495" t="inlineStr">
        <is>
          <t>Neutral</t>
        </is>
      </c>
    </row>
    <row r="1496">
      <c r="A1496" t="inlineStr">
        <is>
          <t>paritoshkumar.j</t>
        </is>
      </c>
      <c r="B1496" t="inlineStr">
        <is>
          <t>Paritosh Kumar Jha</t>
        </is>
      </c>
      <c r="C1496" t="inlineStr">
        <is>
          <t>paritoshkumar.j@osmosys.co</t>
        </is>
      </c>
      <c r="D1496" t="inlineStr">
        <is>
          <t>tgm</t>
        </is>
      </c>
      <c r="E1496">
        <f>HYPERLINK("http://gitlab.osmosys.co/tgm/guild-subcontractor-app", "Guild subcontractor App")</f>
        <v/>
      </c>
      <c r="F1496">
        <f>HYPERLINK("http://gitlab.osmosys.co/tgm/guild-subcontractor-app/-/merge_requests/109", "feat: add reusable external validation")</f>
        <v/>
      </c>
      <c r="G1496" t="inlineStr">
        <is>
          <t>feat/add-external-validation</t>
        </is>
      </c>
      <c r="H1496" t="inlineStr">
        <is>
          <t>GAL</t>
        </is>
      </c>
      <c r="I1496" t="inlineStr">
        <is>
          <t>opened</t>
        </is>
      </c>
      <c r="J1496" t="inlineStr">
        <is>
          <t>1411cb194cfe17cd74509f400484e0ddd859f2c9</t>
        </is>
      </c>
      <c r="K1496">
        <f>HYPERLINK("http://gitlab.osmosys.co/tgm/guild-subcontractor-app/-/merge_requests/109#note_238169", "Used this what if we have two separate keys in future. Anyways will update it.")</f>
        <v/>
      </c>
      <c r="L1496" t="inlineStr">
        <is>
          <t>2025-07-17 12:30:03.055 IST</t>
        </is>
      </c>
      <c r="M1496" t="inlineStr">
        <is>
          <t>Paritosh Kumar Jha</t>
        </is>
      </c>
      <c r="N1496" t="inlineStr">
        <is>
          <t>No</t>
        </is>
      </c>
      <c r="O1496" t="inlineStr">
        <is>
          <t>Yes</t>
        </is>
      </c>
      <c r="P1496" t="inlineStr">
        <is>
          <t>Soundariya B</t>
        </is>
      </c>
      <c r="Q1496" t="inlineStr">
        <is>
          <t>Neutral</t>
        </is>
      </c>
    </row>
    <row r="1497">
      <c r="A1497" t="inlineStr">
        <is>
          <t>paritoshkumar.j</t>
        </is>
      </c>
      <c r="B1497" t="inlineStr">
        <is>
          <t>Paritosh Kumar Jha</t>
        </is>
      </c>
      <c r="C1497" t="inlineStr">
        <is>
          <t>paritoshkumar.j@osmosys.co</t>
        </is>
      </c>
      <c r="D1497" t="inlineStr">
        <is>
          <t>tgm</t>
        </is>
      </c>
      <c r="E1497">
        <f>HYPERLINK("http://gitlab.osmosys.co/tgm/guild-subcontractor-app", "Guild subcontractor App")</f>
        <v/>
      </c>
      <c r="F1497">
        <f>HYPERLINK("http://gitlab.osmosys.co/tgm/guild-subcontractor-app/-/merge_requests/109", "feat: add reusable external validation")</f>
        <v/>
      </c>
      <c r="G1497" t="inlineStr">
        <is>
          <t>feat/add-external-validation</t>
        </is>
      </c>
      <c r="H1497" t="inlineStr">
        <is>
          <t>GAL</t>
        </is>
      </c>
      <c r="I1497" t="inlineStr">
        <is>
          <t>opened</t>
        </is>
      </c>
      <c r="J1497" t="inlineStr">
        <is>
          <t>b0ae532af29b29f82de1b3549ff4b565eb4f1bb4</t>
        </is>
      </c>
      <c r="K1497">
        <f>HYPERLINK("http://gitlab.osmosys.co/tgm/guild-subcontractor-app/-/merge_requests/109#note_237128", "Take this base url as common in variable name as externalApiBaseUrl - https://services.postcodeanywhere.co.uk")</f>
        <v/>
      </c>
      <c r="L1497" t="inlineStr">
        <is>
          <t>2025-07-15 21:16:00.106 IST</t>
        </is>
      </c>
      <c r="M1497" t="inlineStr">
        <is>
          <t>Soundariya B</t>
        </is>
      </c>
      <c r="N1497" t="inlineStr">
        <is>
          <t>Yes</t>
        </is>
      </c>
      <c r="O1497" t="inlineStr">
        <is>
          <t>Yes</t>
        </is>
      </c>
      <c r="P1497" t="inlineStr">
        <is>
          <t>Soundariya B</t>
        </is>
      </c>
      <c r="Q1497" t="inlineStr">
        <is>
          <t>Bad</t>
        </is>
      </c>
    </row>
    <row r="1498">
      <c r="A1498" t="inlineStr">
        <is>
          <t>paritoshkumar.j</t>
        </is>
      </c>
      <c r="B1498" t="inlineStr">
        <is>
          <t>Paritosh Kumar Jha</t>
        </is>
      </c>
      <c r="C1498" t="inlineStr">
        <is>
          <t>paritoshkumar.j@osmosys.co</t>
        </is>
      </c>
      <c r="D1498" t="inlineStr">
        <is>
          <t>tgm</t>
        </is>
      </c>
      <c r="E1498">
        <f>HYPERLINK("http://gitlab.osmosys.co/tgm/guild-subcontractor-app", "Guild subcontractor App")</f>
        <v/>
      </c>
      <c r="F1498">
        <f>HYPERLINK("http://gitlab.osmosys.co/tgm/guild-subcontractor-app/-/merge_requests/109", "feat: add reusable external validation")</f>
        <v/>
      </c>
      <c r="G1498" t="inlineStr">
        <is>
          <t>feat/add-external-validation</t>
        </is>
      </c>
      <c r="H1498" t="inlineStr">
        <is>
          <t>GAL</t>
        </is>
      </c>
      <c r="I1498" t="inlineStr">
        <is>
          <t>opened</t>
        </is>
      </c>
      <c r="J1498" t="inlineStr">
        <is>
          <t>b0ae532af29b29f82de1b3549ff4b565eb4f1bb4</t>
        </is>
      </c>
      <c r="K1498">
        <f>HYPERLINK("http://gitlab.osmosys.co/tgm/guild-subcontractor-app/-/merge_requests/109#note_238188", "Updated")</f>
        <v/>
      </c>
      <c r="L1498" t="inlineStr">
        <is>
          <t>2025-07-17 12:38:58.605 IST</t>
        </is>
      </c>
      <c r="M1498" t="inlineStr">
        <is>
          <t>Paritosh Kumar Jha</t>
        </is>
      </c>
      <c r="N1498" t="inlineStr">
        <is>
          <t>No</t>
        </is>
      </c>
      <c r="O1498" t="inlineStr">
        <is>
          <t>Yes</t>
        </is>
      </c>
      <c r="P1498" t="inlineStr">
        <is>
          <t>Soundariya B</t>
        </is>
      </c>
      <c r="Q1498" t="inlineStr">
        <is>
          <t>Bad</t>
        </is>
      </c>
    </row>
    <row r="1499">
      <c r="A1499" t="inlineStr">
        <is>
          <t>paritoshkumar.j</t>
        </is>
      </c>
      <c r="B1499" t="inlineStr">
        <is>
          <t>Paritosh Kumar Jha</t>
        </is>
      </c>
      <c r="C1499" t="inlineStr">
        <is>
          <t>paritoshkumar.j@osmosys.co</t>
        </is>
      </c>
      <c r="D1499" t="inlineStr">
        <is>
          <t>tgm</t>
        </is>
      </c>
      <c r="E1499">
        <f>HYPERLINK("http://gitlab.osmosys.co/tgm/guild-subcontractor-app", "Guild subcontractor App")</f>
        <v/>
      </c>
      <c r="F1499">
        <f>HYPERLINK("http://gitlab.osmosys.co/tgm/guild-subcontractor-app/-/merge_requests/109", "feat: add reusable external validation")</f>
        <v/>
      </c>
      <c r="G1499" t="inlineStr">
        <is>
          <t>feat/add-external-validation</t>
        </is>
      </c>
      <c r="H1499" t="inlineStr">
        <is>
          <t>GAL</t>
        </is>
      </c>
      <c r="I1499" t="inlineStr">
        <is>
          <t>opened</t>
        </is>
      </c>
      <c r="J1499" t="inlineStr">
        <is>
          <t>200ae2a9c4bee34e59f5cde40b7b229c1b6d9e6e</t>
        </is>
      </c>
      <c r="K1499">
        <f>HYPERLINK("http://gitlab.osmosys.co/tgm/guild-subcontractor-app/-/merge_requests/109#note_237129", "/EmailValidation/Interactive/Validate/v2.00/json6.ws - take this as externalEmailValidationRoute")</f>
        <v/>
      </c>
      <c r="L1499" t="inlineStr">
        <is>
          <t>2025-07-15 21:16:00.165 IST</t>
        </is>
      </c>
      <c r="M1499" t="inlineStr">
        <is>
          <t>Soundariya B</t>
        </is>
      </c>
      <c r="N1499" t="inlineStr">
        <is>
          <t>Yes</t>
        </is>
      </c>
      <c r="O1499" t="inlineStr">
        <is>
          <t>Yes</t>
        </is>
      </c>
      <c r="P1499" t="inlineStr">
        <is>
          <t>Soundariya B</t>
        </is>
      </c>
      <c r="Q1499" t="inlineStr">
        <is>
          <t>Bad</t>
        </is>
      </c>
    </row>
    <row r="1500">
      <c r="A1500" t="inlineStr">
        <is>
          <t>paritoshkumar.j</t>
        </is>
      </c>
      <c r="B1500" t="inlineStr">
        <is>
          <t>Paritosh Kumar Jha</t>
        </is>
      </c>
      <c r="C1500" t="inlineStr">
        <is>
          <t>paritoshkumar.j@osmosys.co</t>
        </is>
      </c>
      <c r="D1500" t="inlineStr">
        <is>
          <t>tgm</t>
        </is>
      </c>
      <c r="E1500">
        <f>HYPERLINK("http://gitlab.osmosys.co/tgm/guild-subcontractor-app", "Guild subcontractor App")</f>
        <v/>
      </c>
      <c r="F1500">
        <f>HYPERLINK("http://gitlab.osmosys.co/tgm/guild-subcontractor-app/-/merge_requests/109", "feat: add reusable external validation")</f>
        <v/>
      </c>
      <c r="G1500" t="inlineStr">
        <is>
          <t>feat/add-external-validation</t>
        </is>
      </c>
      <c r="H1500" t="inlineStr">
        <is>
          <t>GAL</t>
        </is>
      </c>
      <c r="I1500" t="inlineStr">
        <is>
          <t>opened</t>
        </is>
      </c>
      <c r="J1500" t="inlineStr">
        <is>
          <t>200ae2a9c4bee34e59f5cde40b7b229c1b6d9e6e</t>
        </is>
      </c>
      <c r="K1500">
        <f>HYPERLINK("http://gitlab.osmosys.co/tgm/guild-subcontractor-app/-/merge_requests/109#note_238187", "Updated")</f>
        <v/>
      </c>
      <c r="L1500" t="inlineStr">
        <is>
          <t>2025-07-17 12:38:46.047 IST</t>
        </is>
      </c>
      <c r="M1500" t="inlineStr">
        <is>
          <t>Paritosh Kumar Jha</t>
        </is>
      </c>
      <c r="N1500" t="inlineStr">
        <is>
          <t>No</t>
        </is>
      </c>
      <c r="O1500" t="inlineStr">
        <is>
          <t>Yes</t>
        </is>
      </c>
      <c r="P1500" t="inlineStr">
        <is>
          <t>Soundariya B</t>
        </is>
      </c>
      <c r="Q1500" t="inlineStr">
        <is>
          <t>Bad</t>
        </is>
      </c>
    </row>
    <row r="1501">
      <c r="A1501" t="inlineStr">
        <is>
          <t>paritoshkumar.j</t>
        </is>
      </c>
      <c r="B1501" t="inlineStr">
        <is>
          <t>Paritosh Kumar Jha</t>
        </is>
      </c>
      <c r="C1501" t="inlineStr">
        <is>
          <t>paritoshkumar.j@osmosys.co</t>
        </is>
      </c>
      <c r="D1501" t="inlineStr">
        <is>
          <t>tgm</t>
        </is>
      </c>
      <c r="E1501">
        <f>HYPERLINK("http://gitlab.osmosys.co/tgm/guild-subcontractor-app", "Guild subcontractor App")</f>
        <v/>
      </c>
      <c r="F1501">
        <f>HYPERLINK("http://gitlab.osmosys.co/tgm/guild-subcontractor-app/-/merge_requests/109", "feat: add reusable external validation")</f>
        <v/>
      </c>
      <c r="G1501" t="inlineStr">
        <is>
          <t>feat/add-external-validation</t>
        </is>
      </c>
      <c r="H1501" t="inlineStr">
        <is>
          <t>GAL</t>
        </is>
      </c>
      <c r="I1501" t="inlineStr">
        <is>
          <t>opened</t>
        </is>
      </c>
      <c r="J1501" t="inlineStr">
        <is>
          <t>714c79a03782656df94f9a7b34797ab9f07fa9ac</t>
        </is>
      </c>
      <c r="K1501">
        <f>HYPERLINK("http://gitlab.osmosys.co/tgm/guild-subcontractor-app/-/merge_requests/109#note_237130", "/BankAccountValidation/Interactive/Validate/v2.00/json3.ws - take this as externalBankValidationRoute")</f>
        <v/>
      </c>
      <c r="L1501" t="inlineStr">
        <is>
          <t>2025-07-15 21:16:00.220 IST</t>
        </is>
      </c>
      <c r="M1501" t="inlineStr">
        <is>
          <t>Soundariya B</t>
        </is>
      </c>
      <c r="N1501" t="inlineStr">
        <is>
          <t>Yes</t>
        </is>
      </c>
      <c r="O1501" t="inlineStr">
        <is>
          <t>Yes</t>
        </is>
      </c>
      <c r="P1501" t="inlineStr">
        <is>
          <t>Soundariya B</t>
        </is>
      </c>
      <c r="Q1501" t="inlineStr">
        <is>
          <t>Bad</t>
        </is>
      </c>
    </row>
    <row r="1502">
      <c r="A1502" t="inlineStr">
        <is>
          <t>paritoshkumar.j</t>
        </is>
      </c>
      <c r="B1502" t="inlineStr">
        <is>
          <t>Paritosh Kumar Jha</t>
        </is>
      </c>
      <c r="C1502" t="inlineStr">
        <is>
          <t>paritoshkumar.j@osmosys.co</t>
        </is>
      </c>
      <c r="D1502" t="inlineStr">
        <is>
          <t>tgm</t>
        </is>
      </c>
      <c r="E1502">
        <f>HYPERLINK("http://gitlab.osmosys.co/tgm/guild-subcontractor-app", "Guild subcontractor App")</f>
        <v/>
      </c>
      <c r="F1502">
        <f>HYPERLINK("http://gitlab.osmosys.co/tgm/guild-subcontractor-app/-/merge_requests/109", "feat: add reusable external validation")</f>
        <v/>
      </c>
      <c r="G1502" t="inlineStr">
        <is>
          <t>feat/add-external-validation</t>
        </is>
      </c>
      <c r="H1502" t="inlineStr">
        <is>
          <t>GAL</t>
        </is>
      </c>
      <c r="I1502" t="inlineStr">
        <is>
          <t>opened</t>
        </is>
      </c>
      <c r="J1502" t="inlineStr">
        <is>
          <t>714c79a03782656df94f9a7b34797ab9f07fa9ac</t>
        </is>
      </c>
      <c r="K1502">
        <f>HYPERLINK("http://gitlab.osmosys.co/tgm/guild-subcontractor-app/-/merge_requests/109#note_238185", "Updated")</f>
        <v/>
      </c>
      <c r="L1502" t="inlineStr">
        <is>
          <t>2025-07-17 12:38:29.812 IST</t>
        </is>
      </c>
      <c r="M1502" t="inlineStr">
        <is>
          <t>Paritosh Kumar Jha</t>
        </is>
      </c>
      <c r="N1502" t="inlineStr">
        <is>
          <t>No</t>
        </is>
      </c>
      <c r="O1502" t="inlineStr">
        <is>
          <t>Yes</t>
        </is>
      </c>
      <c r="P1502" t="inlineStr">
        <is>
          <t>Soundariya B</t>
        </is>
      </c>
      <c r="Q1502" t="inlineStr">
        <is>
          <t>Bad</t>
        </is>
      </c>
    </row>
    <row r="1503">
      <c r="A1503" t="inlineStr">
        <is>
          <t>paritoshkumar.j</t>
        </is>
      </c>
      <c r="B1503" t="inlineStr">
        <is>
          <t>Paritosh Kumar Jha</t>
        </is>
      </c>
      <c r="C1503" t="inlineStr">
        <is>
          <t>paritoshkumar.j@osmosys.co</t>
        </is>
      </c>
      <c r="D1503" t="inlineStr">
        <is>
          <t>tgm</t>
        </is>
      </c>
      <c r="E1503">
        <f>HYPERLINK("http://gitlab.osmosys.co/tgm/guild-subcontractor-app", "Guild subcontractor App")</f>
        <v/>
      </c>
      <c r="F1503">
        <f>HYPERLINK("http://gitlab.osmosys.co/tgm/guild-subcontractor-app/-/merge_requests/109", "feat: add reusable external validation")</f>
        <v/>
      </c>
      <c r="G1503" t="inlineStr">
        <is>
          <t>feat/add-external-validation</t>
        </is>
      </c>
      <c r="H1503" t="inlineStr">
        <is>
          <t>GAL</t>
        </is>
      </c>
      <c r="I1503" t="inlineStr">
        <is>
          <t>opened</t>
        </is>
      </c>
      <c r="J1503" t="inlineStr">
        <is>
          <t>38e746a7ba03584cdd89954098463710194e119f</t>
        </is>
      </c>
      <c r="K1503">
        <f>HYPERLINK("http://gitlab.osmosys.co/tgm/guild-subcontractor-app/-/merge_requests/109#note_237131", "Same here as above I mentioned")</f>
        <v/>
      </c>
      <c r="L1503" t="inlineStr">
        <is>
          <t>2025-07-15 21:16:00.287 IST</t>
        </is>
      </c>
      <c r="M1503" t="inlineStr">
        <is>
          <t>Soundariya B</t>
        </is>
      </c>
      <c r="N1503" t="inlineStr">
        <is>
          <t>Yes</t>
        </is>
      </c>
      <c r="O1503" t="inlineStr">
        <is>
          <t>Yes</t>
        </is>
      </c>
      <c r="P1503" t="inlineStr">
        <is>
          <t>Soundariya B</t>
        </is>
      </c>
      <c r="Q1503" t="inlineStr">
        <is>
          <t>Bad</t>
        </is>
      </c>
    </row>
    <row r="1504">
      <c r="A1504" t="inlineStr">
        <is>
          <t>paritoshkumar.j</t>
        </is>
      </c>
      <c r="B1504" t="inlineStr">
        <is>
          <t>Paritosh Kumar Jha</t>
        </is>
      </c>
      <c r="C1504" t="inlineStr">
        <is>
          <t>paritoshkumar.j@osmosys.co</t>
        </is>
      </c>
      <c r="D1504" t="inlineStr">
        <is>
          <t>tgm</t>
        </is>
      </c>
      <c r="E1504">
        <f>HYPERLINK("http://gitlab.osmosys.co/tgm/guild-subcontractor-app", "Guild subcontractor App")</f>
        <v/>
      </c>
      <c r="F1504">
        <f>HYPERLINK("http://gitlab.osmosys.co/tgm/guild-subcontractor-app/-/merge_requests/109", "feat: add reusable external validation")</f>
        <v/>
      </c>
      <c r="G1504" t="inlineStr">
        <is>
          <t>feat/add-external-validation</t>
        </is>
      </c>
      <c r="H1504" t="inlineStr">
        <is>
          <t>GAL</t>
        </is>
      </c>
      <c r="I1504" t="inlineStr">
        <is>
          <t>opened</t>
        </is>
      </c>
      <c r="J1504" t="inlineStr">
        <is>
          <t>38e746a7ba03584cdd89954098463710194e119f</t>
        </is>
      </c>
      <c r="K1504">
        <f>HYPERLINK("http://gitlab.osmosys.co/tgm/guild-subcontractor-app/-/merge_requests/109#note_238186", "Updated")</f>
        <v/>
      </c>
      <c r="L1504" t="inlineStr">
        <is>
          <t>2025-07-17 12:38:36.827 IST</t>
        </is>
      </c>
      <c r="M1504" t="inlineStr">
        <is>
          <t>Paritosh Kumar Jha</t>
        </is>
      </c>
      <c r="N1504" t="inlineStr">
        <is>
          <t>No</t>
        </is>
      </c>
      <c r="O1504" t="inlineStr">
        <is>
          <t>Yes</t>
        </is>
      </c>
      <c r="P1504" t="inlineStr">
        <is>
          <t>Soundariya B</t>
        </is>
      </c>
      <c r="Q1504" t="inlineStr">
        <is>
          <t>Bad</t>
        </is>
      </c>
    </row>
    <row r="1505">
      <c r="A1505" t="inlineStr">
        <is>
          <t>paritoshkumar.j</t>
        </is>
      </c>
      <c r="B1505" t="inlineStr">
        <is>
          <t>Paritosh Kumar Jha</t>
        </is>
      </c>
      <c r="C1505" t="inlineStr">
        <is>
          <t>paritoshkumar.j@osmosys.co</t>
        </is>
      </c>
      <c r="D1505" t="inlineStr">
        <is>
          <t>tgm</t>
        </is>
      </c>
      <c r="E1505">
        <f>HYPERLINK("http://gitlab.osmosys.co/tgm/guild-subcontractor-app", "Guild subcontractor App")</f>
        <v/>
      </c>
      <c r="F1505">
        <f>HYPERLINK("http://gitlab.osmosys.co/tgm/guild-subcontractor-app/-/merge_requests/109", "feat: add reusable external validation")</f>
        <v/>
      </c>
      <c r="G1505" t="inlineStr">
        <is>
          <t>feat/add-external-validation</t>
        </is>
      </c>
      <c r="H1505" t="inlineStr">
        <is>
          <t>GAL</t>
        </is>
      </c>
      <c r="I1505" t="inlineStr">
        <is>
          <t>opened</t>
        </is>
      </c>
      <c r="J1505" t="inlineStr">
        <is>
          <t>2e48fb29679c7f50126a9624273c889a1a14dabb</t>
        </is>
      </c>
      <c r="K1505">
        <f>HYPERLINK("http://gitlab.osmosys.co/tgm/guild-subcontractor-app/-/merge_requests/109#note_237132", "Outdated test case attached please update it with new cases")</f>
        <v/>
      </c>
      <c r="L1505" t="inlineStr">
        <is>
          <t>2025-07-15 21:16:00.331 IST</t>
        </is>
      </c>
      <c r="M1505" t="inlineStr">
        <is>
          <t>Soundariya B</t>
        </is>
      </c>
      <c r="N1505" t="inlineStr">
        <is>
          <t>Yes</t>
        </is>
      </c>
      <c r="O1505" t="inlineStr">
        <is>
          <t>Yes</t>
        </is>
      </c>
      <c r="P1505" t="inlineStr">
        <is>
          <t>Soundariya B</t>
        </is>
      </c>
      <c r="Q1505" t="inlineStr">
        <is>
          <t>Bad</t>
        </is>
      </c>
    </row>
    <row r="1506">
      <c r="A1506" t="inlineStr">
        <is>
          <t>paritoshkumar.j</t>
        </is>
      </c>
      <c r="B1506" t="inlineStr">
        <is>
          <t>Paritosh Kumar Jha</t>
        </is>
      </c>
      <c r="C1506" t="inlineStr">
        <is>
          <t>paritoshkumar.j@osmosys.co</t>
        </is>
      </c>
      <c r="D1506" t="inlineStr">
        <is>
          <t>tgm</t>
        </is>
      </c>
      <c r="E1506">
        <f>HYPERLINK("http://gitlab.osmosys.co/tgm/guild-subcontractor-app", "Guild subcontractor App")</f>
        <v/>
      </c>
      <c r="F1506">
        <f>HYPERLINK("http://gitlab.osmosys.co/tgm/guild-subcontractor-app/-/merge_requests/109", "feat: add reusable external validation")</f>
        <v/>
      </c>
      <c r="G1506" t="inlineStr">
        <is>
          <t>feat/add-external-validation</t>
        </is>
      </c>
      <c r="H1506" t="inlineStr">
        <is>
          <t>GAL</t>
        </is>
      </c>
      <c r="I1506" t="inlineStr">
        <is>
          <t>opened</t>
        </is>
      </c>
      <c r="J1506" t="inlineStr">
        <is>
          <t>2e48fb29679c7f50126a9624273c889a1a14dabb</t>
        </is>
      </c>
      <c r="K1506">
        <f>HYPERLINK("http://gitlab.osmosys.co/tgm/guild-subcontractor-app/-/merge_requests/109#note_238399", "Updated")</f>
        <v/>
      </c>
      <c r="L1506" t="inlineStr">
        <is>
          <t>2025-07-17 15:42:09.859 IST</t>
        </is>
      </c>
      <c r="M1506" t="inlineStr">
        <is>
          <t>Paritosh Kumar Jha</t>
        </is>
      </c>
      <c r="N1506" t="inlineStr">
        <is>
          <t>No</t>
        </is>
      </c>
      <c r="O1506" t="inlineStr">
        <is>
          <t>Yes</t>
        </is>
      </c>
      <c r="P1506" t="inlineStr">
        <is>
          <t>Soundariya B</t>
        </is>
      </c>
      <c r="Q1506" t="inlineStr">
        <is>
          <t>Bad</t>
        </is>
      </c>
    </row>
    <row r="1507">
      <c r="A1507" t="inlineStr">
        <is>
          <t>paritoshkumar.j</t>
        </is>
      </c>
      <c r="B1507" t="inlineStr">
        <is>
          <t>Paritosh Kumar Jha</t>
        </is>
      </c>
      <c r="C1507" t="inlineStr">
        <is>
          <t>paritoshkumar.j@osmosys.co</t>
        </is>
      </c>
      <c r="D1507" t="inlineStr">
        <is>
          <t>tgm</t>
        </is>
      </c>
      <c r="E1507">
        <f>HYPERLINK("http://gitlab.osmosys.co/tgm/guild-subcontractor-app", "Guild subcontractor App")</f>
        <v/>
      </c>
      <c r="F1507">
        <f>HYPERLINK("http://gitlab.osmosys.co/tgm/guild-subcontractor-app/-/merge_requests/109", "feat: add reusable external validation")</f>
        <v/>
      </c>
      <c r="G1507" t="inlineStr">
        <is>
          <t>feat/add-external-validation</t>
        </is>
      </c>
      <c r="H1507" t="inlineStr">
        <is>
          <t>GAL</t>
        </is>
      </c>
      <c r="I1507" t="inlineStr">
        <is>
          <t>opened</t>
        </is>
      </c>
      <c r="J1507" t="inlineStr">
        <is>
          <t>7c572448ef3475ad3ec27e2e74b1fafa5b64026c</t>
        </is>
      </c>
      <c r="K1507">
        <f>HYPERLINK("http://gitlab.osmosys.co/tgm/guild-subcontractor-app/-/merge_requests/109#note_237133", "Please update the screen recording as well which showed in the call")</f>
        <v/>
      </c>
      <c r="L1507" t="inlineStr">
        <is>
          <t>2025-07-15 21:16:00.356 IST</t>
        </is>
      </c>
      <c r="M1507" t="inlineStr">
        <is>
          <t>Soundariya B</t>
        </is>
      </c>
      <c r="N1507" t="inlineStr">
        <is>
          <t>Yes</t>
        </is>
      </c>
      <c r="O1507" t="inlineStr">
        <is>
          <t>Yes</t>
        </is>
      </c>
      <c r="P1507" t="inlineStr">
        <is>
          <t>Soundariya B</t>
        </is>
      </c>
      <c r="Q1507" t="inlineStr">
        <is>
          <t>Bad</t>
        </is>
      </c>
    </row>
    <row r="1508">
      <c r="A1508" t="inlineStr">
        <is>
          <t>paritoshkumar.j</t>
        </is>
      </c>
      <c r="B1508" t="inlineStr">
        <is>
          <t>Paritosh Kumar Jha</t>
        </is>
      </c>
      <c r="C1508" t="inlineStr">
        <is>
          <t>paritoshkumar.j@osmosys.co</t>
        </is>
      </c>
      <c r="D1508" t="inlineStr">
        <is>
          <t>tgm</t>
        </is>
      </c>
      <c r="E1508">
        <f>HYPERLINK("http://gitlab.osmosys.co/tgm/guild-subcontractor-app", "Guild subcontractor App")</f>
        <v/>
      </c>
      <c r="F1508">
        <f>HYPERLINK("http://gitlab.osmosys.co/tgm/guild-subcontractor-app/-/merge_requests/109", "feat: add reusable external validation")</f>
        <v/>
      </c>
      <c r="G1508" t="inlineStr">
        <is>
          <t>feat/add-external-validation</t>
        </is>
      </c>
      <c r="H1508" t="inlineStr">
        <is>
          <t>GAL</t>
        </is>
      </c>
      <c r="I1508" t="inlineStr">
        <is>
          <t>opened</t>
        </is>
      </c>
      <c r="J1508" t="inlineStr">
        <is>
          <t>7c572448ef3475ad3ec27e2e74b1fafa5b64026c</t>
        </is>
      </c>
      <c r="K1508">
        <f>HYPERLINK("http://gitlab.osmosys.co/tgm/guild-subcontractor-app/-/merge_requests/109#note_238398", "The functionality is exactly same. Still updated it")</f>
        <v/>
      </c>
      <c r="L1508" t="inlineStr">
        <is>
          <t>2025-07-17 15:41:53.328 IST</t>
        </is>
      </c>
      <c r="M1508" t="inlineStr">
        <is>
          <t>Paritosh Kumar Jha</t>
        </is>
      </c>
      <c r="N1508" t="inlineStr">
        <is>
          <t>No</t>
        </is>
      </c>
      <c r="O1508" t="inlineStr">
        <is>
          <t>Yes</t>
        </is>
      </c>
      <c r="P1508" t="inlineStr">
        <is>
          <t>Soundariya B</t>
        </is>
      </c>
      <c r="Q1508" t="inlineStr">
        <is>
          <t>Bad</t>
        </is>
      </c>
    </row>
    <row r="1509">
      <c r="A1509" t="inlineStr">
        <is>
          <t>paritoshkumar.j</t>
        </is>
      </c>
      <c r="B1509" t="inlineStr">
        <is>
          <t>Paritosh Kumar Jha</t>
        </is>
      </c>
      <c r="C1509" t="inlineStr">
        <is>
          <t>paritoshkumar.j@osmosys.co</t>
        </is>
      </c>
      <c r="D1509" t="inlineStr">
        <is>
          <t>tgm</t>
        </is>
      </c>
      <c r="E1509">
        <f>HYPERLINK("http://gitlab.osmosys.co/tgm/guild-subcontractor-app", "Guild subcontractor App")</f>
        <v/>
      </c>
      <c r="F1509">
        <f>HYPERLINK("http://gitlab.osmosys.co/tgm/guild-subcontractor-app/-/merge_requests/109", "feat: add reusable external validation")</f>
        <v/>
      </c>
      <c r="G1509" t="inlineStr">
        <is>
          <t>feat/add-external-validation</t>
        </is>
      </c>
      <c r="H1509" t="inlineStr">
        <is>
          <t>GAL</t>
        </is>
      </c>
      <c r="I1509" t="inlineStr">
        <is>
          <t>opened</t>
        </is>
      </c>
      <c r="J1509" t="inlineStr">
        <is>
          <t>63e74b77d5317678ca0b3515e982a8b20bc15061</t>
        </is>
      </c>
      <c r="K1509">
        <f>HYPERLINK("http://gitlab.osmosys.co/tgm/guild-subcontractor-app/-/merge_requests/109#note_238570", "Please don't add duplicate comments. If anything is repetitive, it's my duty to change it everywhere. If I don't follow it in the subsequent review rounds then you can add as I missed it. But for the first round this shouldn't be the case as it raises the PR comments count unnecessarily. This flow of threads resolution has been discussed with Raj as well. I have replied to 6 comments as duplicate comment which I found to be duplicate - please delete those. Thank you.
cc : @RajKumar")</f>
        <v/>
      </c>
      <c r="L1509" t="inlineStr">
        <is>
          <t>2025-07-17 18:14:24.747 IST</t>
        </is>
      </c>
      <c r="M1509" t="inlineStr">
        <is>
          <t>Paritosh Kumar Jha</t>
        </is>
      </c>
      <c r="N1509" t="inlineStr">
        <is>
          <t>No</t>
        </is>
      </c>
      <c r="O1509" t="inlineStr">
        <is>
          <t>No</t>
        </is>
      </c>
      <c r="P1509" t="inlineStr"/>
      <c r="Q1509" t="inlineStr">
        <is>
          <t>Neutral</t>
        </is>
      </c>
    </row>
    <row r="1510">
      <c r="A1510" t="inlineStr">
        <is>
          <t>paritoshkumar.j</t>
        </is>
      </c>
      <c r="B1510" t="inlineStr">
        <is>
          <t>Paritosh Kumar Jha</t>
        </is>
      </c>
      <c r="C1510" t="inlineStr">
        <is>
          <t>paritoshkumar.j@osmosys.co</t>
        </is>
      </c>
      <c r="D1510" t="inlineStr">
        <is>
          <t>tgm</t>
        </is>
      </c>
      <c r="E1510">
        <f>HYPERLINK("http://gitlab.osmosys.co/tgm/guild-subcontractor-app", "Guild subcontractor App")</f>
        <v/>
      </c>
      <c r="F1510">
        <f>HYPERLINK("http://gitlab.osmosys.co/tgm/guild-subcontractor-app/-/merge_requests/109", "feat: add reusable external validation")</f>
        <v/>
      </c>
      <c r="G1510" t="inlineStr">
        <is>
          <t>feat/add-external-validation</t>
        </is>
      </c>
      <c r="H1510" t="inlineStr">
        <is>
          <t>GAL</t>
        </is>
      </c>
      <c r="I1510" t="inlineStr">
        <is>
          <t>opened</t>
        </is>
      </c>
      <c r="J1510" t="inlineStr">
        <is>
          <t>2bbca0e641f0e9080baf2c06b9f8badee76126d4</t>
        </is>
      </c>
      <c r="K1510">
        <f>HYPERLINK("http://gitlab.osmosys.co/tgm/guild-subcontractor-app/-/merge_requests/109#note_239013", "Can you add this lines of code under this function - **validateEmailInput?** As this is same for both any type of registration")</f>
        <v/>
      </c>
      <c r="L1510" t="inlineStr">
        <is>
          <t>2025-07-18 20:49:25.007 IST</t>
        </is>
      </c>
      <c r="M1510" t="inlineStr">
        <is>
          <t>Soundariya B</t>
        </is>
      </c>
      <c r="N1510" t="inlineStr">
        <is>
          <t>Yes</t>
        </is>
      </c>
      <c r="O1510" t="inlineStr">
        <is>
          <t>Yes</t>
        </is>
      </c>
      <c r="P1510" t="inlineStr">
        <is>
          <t>Soundariya B</t>
        </is>
      </c>
      <c r="Q1510" t="inlineStr">
        <is>
          <t>Bad</t>
        </is>
      </c>
    </row>
    <row r="1511">
      <c r="A1511" t="inlineStr">
        <is>
          <t>paritoshkumar.j</t>
        </is>
      </c>
      <c r="B1511" t="inlineStr">
        <is>
          <t>Paritosh Kumar Jha</t>
        </is>
      </c>
      <c r="C1511" t="inlineStr">
        <is>
          <t>paritoshkumar.j@osmosys.co</t>
        </is>
      </c>
      <c r="D1511" t="inlineStr">
        <is>
          <t>tgm</t>
        </is>
      </c>
      <c r="E1511">
        <f>HYPERLINK("http://gitlab.osmosys.co/tgm/guild-subcontractor-app", "Guild subcontractor App")</f>
        <v/>
      </c>
      <c r="F1511">
        <f>HYPERLINK("http://gitlab.osmosys.co/tgm/guild-subcontractor-app/-/merge_requests/109", "feat: add reusable external validation")</f>
        <v/>
      </c>
      <c r="G1511" t="inlineStr">
        <is>
          <t>feat/add-external-validation</t>
        </is>
      </c>
      <c r="H1511" t="inlineStr">
        <is>
          <t>GAL</t>
        </is>
      </c>
      <c r="I1511" t="inlineStr">
        <is>
          <t>opened</t>
        </is>
      </c>
      <c r="J1511" t="inlineStr">
        <is>
          <t>2bbca0e641f0e9080baf2c06b9f8badee76126d4</t>
        </is>
      </c>
      <c r="K1511">
        <f>HYPERLINK("http://gitlab.osmosys.co/tgm/guild-subcontractor-app/-/merge_requests/109#note_240219", "Updated")</f>
        <v/>
      </c>
      <c r="L1511" t="inlineStr">
        <is>
          <t>2025-07-22 15:16:52.018 IST</t>
        </is>
      </c>
      <c r="M1511" t="inlineStr">
        <is>
          <t>Paritosh Kumar Jha</t>
        </is>
      </c>
      <c r="N1511" t="inlineStr">
        <is>
          <t>No</t>
        </is>
      </c>
      <c r="O1511" t="inlineStr">
        <is>
          <t>Yes</t>
        </is>
      </c>
      <c r="P1511" t="inlineStr">
        <is>
          <t>Soundariya B</t>
        </is>
      </c>
      <c r="Q1511" t="inlineStr">
        <is>
          <t>Bad</t>
        </is>
      </c>
    </row>
    <row r="1512">
      <c r="A1512" t="inlineStr">
        <is>
          <t>paritoshkumar.j</t>
        </is>
      </c>
      <c r="B1512" t="inlineStr">
        <is>
          <t>Paritosh Kumar Jha</t>
        </is>
      </c>
      <c r="C1512" t="inlineStr">
        <is>
          <t>paritoshkumar.j@osmosys.co</t>
        </is>
      </c>
      <c r="D1512" t="inlineStr">
        <is>
          <t>tgm</t>
        </is>
      </c>
      <c r="E1512">
        <f>HYPERLINK("http://gitlab.osmosys.co/tgm/guild-subcontractor-app", "Guild subcontractor App")</f>
        <v/>
      </c>
      <c r="F1512">
        <f>HYPERLINK("http://gitlab.osmosys.co/tgm/guild-subcontractor-app/-/merge_requests/109", "feat: add reusable external validation")</f>
        <v/>
      </c>
      <c r="G1512" t="inlineStr">
        <is>
          <t>feat/add-external-validation</t>
        </is>
      </c>
      <c r="H1512" t="inlineStr">
        <is>
          <t>GAL</t>
        </is>
      </c>
      <c r="I1512" t="inlineStr">
        <is>
          <t>opened</t>
        </is>
      </c>
      <c r="J1512" t="inlineStr">
        <is>
          <t>04c6a0f0f504dd5491f59739237e5458b7b601f1</t>
        </is>
      </c>
      <c r="K1512">
        <f>HYPERLINK("http://gitlab.osmosys.co/tgm/guild-subcontractor-app/-/merge_requests/109#note_239014", "Declare this as string")</f>
        <v/>
      </c>
      <c r="L1512" t="inlineStr">
        <is>
          <t>2025-07-18 20:49:25.089 IST</t>
        </is>
      </c>
      <c r="M1512" t="inlineStr">
        <is>
          <t>Soundariya B</t>
        </is>
      </c>
      <c r="N1512" t="inlineStr">
        <is>
          <t>Yes</t>
        </is>
      </c>
      <c r="O1512" t="inlineStr">
        <is>
          <t>Yes</t>
        </is>
      </c>
      <c r="P1512" t="inlineStr">
        <is>
          <t>Soundariya B</t>
        </is>
      </c>
      <c r="Q1512" t="inlineStr">
        <is>
          <t>Bad</t>
        </is>
      </c>
    </row>
    <row r="1513">
      <c r="A1513" t="inlineStr">
        <is>
          <t>paritoshkumar.j</t>
        </is>
      </c>
      <c r="B1513" t="inlineStr">
        <is>
          <t>Paritosh Kumar Jha</t>
        </is>
      </c>
      <c r="C1513" t="inlineStr">
        <is>
          <t>paritoshkumar.j@osmosys.co</t>
        </is>
      </c>
      <c r="D1513" t="inlineStr">
        <is>
          <t>tgm</t>
        </is>
      </c>
      <c r="E1513">
        <f>HYPERLINK("http://gitlab.osmosys.co/tgm/guild-subcontractor-app", "Guild subcontractor App")</f>
        <v/>
      </c>
      <c r="F1513">
        <f>HYPERLINK("http://gitlab.osmosys.co/tgm/guild-subcontractor-app/-/merge_requests/109", "feat: add reusable external validation")</f>
        <v/>
      </c>
      <c r="G1513" t="inlineStr">
        <is>
          <t>feat/add-external-validation</t>
        </is>
      </c>
      <c r="H1513" t="inlineStr">
        <is>
          <t>GAL</t>
        </is>
      </c>
      <c r="I1513" t="inlineStr">
        <is>
          <t>opened</t>
        </is>
      </c>
      <c r="J1513" t="inlineStr">
        <is>
          <t>04c6a0f0f504dd5491f59739237e5458b7b601f1</t>
        </is>
      </c>
      <c r="K1513">
        <f>HYPERLINK("http://gitlab.osmosys.co/tgm/guild-subcontractor-app/-/merge_requests/109#note_240181", "It is not needed in case of direct initializations")</f>
        <v/>
      </c>
      <c r="L1513" t="inlineStr">
        <is>
          <t>2025-07-22 14:39:10.175 IST</t>
        </is>
      </c>
      <c r="M1513" t="inlineStr">
        <is>
          <t>Paritosh Kumar Jha</t>
        </is>
      </c>
      <c r="N1513" t="inlineStr">
        <is>
          <t>No</t>
        </is>
      </c>
      <c r="O1513" t="inlineStr">
        <is>
          <t>Yes</t>
        </is>
      </c>
      <c r="P1513" t="inlineStr">
        <is>
          <t>Soundariya B</t>
        </is>
      </c>
      <c r="Q1513" t="inlineStr">
        <is>
          <t>Bad</t>
        </is>
      </c>
    </row>
    <row r="1514">
      <c r="A1514" t="inlineStr">
        <is>
          <t>paritoshkumar.j</t>
        </is>
      </c>
      <c r="B1514" t="inlineStr">
        <is>
          <t>Paritosh Kumar Jha</t>
        </is>
      </c>
      <c r="C1514" t="inlineStr">
        <is>
          <t>paritoshkumar.j@osmosys.co</t>
        </is>
      </c>
      <c r="D1514" t="inlineStr">
        <is>
          <t>tgm</t>
        </is>
      </c>
      <c r="E1514">
        <f>HYPERLINK("http://gitlab.osmosys.co/tgm/guild-subcontractor-app", "Guild subcontractor App")</f>
        <v/>
      </c>
      <c r="F1514">
        <f>HYPERLINK("http://gitlab.osmosys.co/tgm/guild-subcontractor-app/-/merge_requests/109", "feat: add reusable external validation")</f>
        <v/>
      </c>
      <c r="G1514" t="inlineStr">
        <is>
          <t>feat/add-external-validation</t>
        </is>
      </c>
      <c r="H1514" t="inlineStr">
        <is>
          <t>GAL</t>
        </is>
      </c>
      <c r="I1514" t="inlineStr">
        <is>
          <t>opened</t>
        </is>
      </c>
      <c r="J1514" t="inlineStr">
        <is>
          <t>4ad10118ea82249f61c77860a929ddc8c1a0c344</t>
        </is>
      </c>
      <c r="K1514">
        <f>HYPERLINK("http://gitlab.osmosys.co/tgm/guild-subcontractor-app/-/merge_requests/109#note_239015", "Rename it as storeValidatedEmailValue")</f>
        <v/>
      </c>
      <c r="L1514" t="inlineStr">
        <is>
          <t>2025-07-18 20:49:25.169 IST</t>
        </is>
      </c>
      <c r="M1514" t="inlineStr">
        <is>
          <t>Soundariya B</t>
        </is>
      </c>
      <c r="N1514" t="inlineStr">
        <is>
          <t>Yes</t>
        </is>
      </c>
      <c r="O1514" t="inlineStr">
        <is>
          <t>Yes</t>
        </is>
      </c>
      <c r="P1514" t="inlineStr">
        <is>
          <t>Soundariya B</t>
        </is>
      </c>
      <c r="Q1514" t="inlineStr">
        <is>
          <t>Bad</t>
        </is>
      </c>
    </row>
    <row r="1515">
      <c r="A1515" t="inlineStr">
        <is>
          <t>paritoshkumar.j</t>
        </is>
      </c>
      <c r="B1515" t="inlineStr">
        <is>
          <t>Paritosh Kumar Jha</t>
        </is>
      </c>
      <c r="C1515" t="inlineStr">
        <is>
          <t>paritoshkumar.j@osmosys.co</t>
        </is>
      </c>
      <c r="D1515" t="inlineStr">
        <is>
          <t>tgm</t>
        </is>
      </c>
      <c r="E1515">
        <f>HYPERLINK("http://gitlab.osmosys.co/tgm/guild-subcontractor-app", "Guild subcontractor App")</f>
        <v/>
      </c>
      <c r="F1515">
        <f>HYPERLINK("http://gitlab.osmosys.co/tgm/guild-subcontractor-app/-/merge_requests/109", "feat: add reusable external validation")</f>
        <v/>
      </c>
      <c r="G1515" t="inlineStr">
        <is>
          <t>feat/add-external-validation</t>
        </is>
      </c>
      <c r="H1515" t="inlineStr">
        <is>
          <t>GAL</t>
        </is>
      </c>
      <c r="I1515" t="inlineStr">
        <is>
          <t>opened</t>
        </is>
      </c>
      <c r="J1515" t="inlineStr">
        <is>
          <t>4ad10118ea82249f61c77860a929ddc8c1a0c344</t>
        </is>
      </c>
      <c r="K1515">
        <f>HYPERLINK("http://gitlab.osmosys.co/tgm/guild-subcontractor-app/-/merge_requests/109#note_240216", "Updated")</f>
        <v/>
      </c>
      <c r="L1515" t="inlineStr">
        <is>
          <t>2025-07-22 15:06:38.445 IST</t>
        </is>
      </c>
      <c r="M1515" t="inlineStr">
        <is>
          <t>Paritosh Kumar Jha</t>
        </is>
      </c>
      <c r="N1515" t="inlineStr">
        <is>
          <t>No</t>
        </is>
      </c>
      <c r="O1515" t="inlineStr">
        <is>
          <t>Yes</t>
        </is>
      </c>
      <c r="P1515" t="inlineStr">
        <is>
          <t>Soundariya B</t>
        </is>
      </c>
      <c r="Q1515" t="inlineStr">
        <is>
          <t>Bad</t>
        </is>
      </c>
    </row>
    <row r="1516">
      <c r="A1516" t="inlineStr">
        <is>
          <t>paritoshkumar.j</t>
        </is>
      </c>
      <c r="B1516" t="inlineStr">
        <is>
          <t>Paritosh Kumar Jha</t>
        </is>
      </c>
      <c r="C1516" t="inlineStr">
        <is>
          <t>paritoshkumar.j@osmosys.co</t>
        </is>
      </c>
      <c r="D1516" t="inlineStr">
        <is>
          <t>tgm</t>
        </is>
      </c>
      <c r="E1516">
        <f>HYPERLINK("http://gitlab.osmosys.co/tgm/guild-subcontractor-app", "Guild subcontractor App")</f>
        <v/>
      </c>
      <c r="F1516">
        <f>HYPERLINK("http://gitlab.osmosys.co/tgm/guild-subcontractor-app/-/merge_requests/108", "fix: add click event to logo for navigation to home page")</f>
        <v/>
      </c>
      <c r="G1516" t="inlineStr">
        <is>
          <t>fix/thankyou-page-navigation</t>
        </is>
      </c>
      <c r="H1516" t="inlineStr">
        <is>
          <t>GAL</t>
        </is>
      </c>
      <c r="I1516" t="inlineStr">
        <is>
          <t>merged</t>
        </is>
      </c>
      <c r="J1516" t="inlineStr">
        <is>
          <t>b2f2b6a10bc5afb6860d190d735938cb862bd6df</t>
        </is>
      </c>
      <c r="K1516">
        <f>HYPERLINK("http://gitlab.osmosys.co/tgm/guild-subcontractor-app/-/merge_requests/108#note_233981", "Spell mistake - it should be - goToHomePage()")</f>
        <v/>
      </c>
      <c r="L1516" t="inlineStr">
        <is>
          <t>2025-07-10 10:57:55.272 IST</t>
        </is>
      </c>
      <c r="M1516" t="inlineStr">
        <is>
          <t>Soundariya B</t>
        </is>
      </c>
      <c r="N1516" t="inlineStr">
        <is>
          <t>Yes</t>
        </is>
      </c>
      <c r="O1516" t="inlineStr">
        <is>
          <t>Yes</t>
        </is>
      </c>
      <c r="P1516" t="inlineStr">
        <is>
          <t>Soundariya B</t>
        </is>
      </c>
      <c r="Q1516" t="inlineStr">
        <is>
          <t>Bad</t>
        </is>
      </c>
    </row>
    <row r="1517">
      <c r="A1517" t="inlineStr">
        <is>
          <t>paritoshkumar.j</t>
        </is>
      </c>
      <c r="B1517" t="inlineStr">
        <is>
          <t>Paritosh Kumar Jha</t>
        </is>
      </c>
      <c r="C1517" t="inlineStr">
        <is>
          <t>paritoshkumar.j@osmosys.co</t>
        </is>
      </c>
      <c r="D1517" t="inlineStr">
        <is>
          <t>tgm</t>
        </is>
      </c>
      <c r="E1517">
        <f>HYPERLINK("http://gitlab.osmosys.co/tgm/guild-subcontractor-app", "Guild subcontractor App")</f>
        <v/>
      </c>
      <c r="F1517">
        <f>HYPERLINK("http://gitlab.osmosys.co/tgm/guild-subcontractor-app/-/merge_requests/108", "fix: add click event to logo for navigation to home page")</f>
        <v/>
      </c>
      <c r="G1517" t="inlineStr">
        <is>
          <t>fix/thankyou-page-navigation</t>
        </is>
      </c>
      <c r="H1517" t="inlineStr">
        <is>
          <t>GAL</t>
        </is>
      </c>
      <c r="I1517" t="inlineStr">
        <is>
          <t>merged</t>
        </is>
      </c>
      <c r="J1517" t="inlineStr">
        <is>
          <t>b2f2b6a10bc5afb6860d190d735938cb862bd6df</t>
        </is>
      </c>
      <c r="K1517">
        <f>HYPERLINK("http://gitlab.osmosys.co/tgm/guild-subcontractor-app/-/merge_requests/108#note_234006", "It was an old method, this was used as it is across page.
Updated it.")</f>
        <v/>
      </c>
      <c r="L1517" t="inlineStr">
        <is>
          <t>2025-07-10 11:21:20.506 IST</t>
        </is>
      </c>
      <c r="M1517" t="inlineStr">
        <is>
          <t>Paritosh Kumar Jha</t>
        </is>
      </c>
      <c r="N1517" t="inlineStr">
        <is>
          <t>No</t>
        </is>
      </c>
      <c r="O1517" t="inlineStr">
        <is>
          <t>Yes</t>
        </is>
      </c>
      <c r="P1517" t="inlineStr">
        <is>
          <t>Soundariya B</t>
        </is>
      </c>
      <c r="Q1517" t="inlineStr">
        <is>
          <t>Bad</t>
        </is>
      </c>
    </row>
    <row r="1518">
      <c r="A1518" t="inlineStr">
        <is>
          <t>paritoshkumar.j</t>
        </is>
      </c>
      <c r="B1518" t="inlineStr">
        <is>
          <t>Paritosh Kumar Jha</t>
        </is>
      </c>
      <c r="C1518" t="inlineStr">
        <is>
          <t>paritoshkumar.j@osmosys.co</t>
        </is>
      </c>
      <c r="D1518" t="inlineStr">
        <is>
          <t>tgm</t>
        </is>
      </c>
      <c r="E1518">
        <f>HYPERLINK("http://gitlab.osmosys.co/tgm/guild-subcontractor-app", "Guild subcontractor App")</f>
        <v/>
      </c>
      <c r="F1518">
        <f>HYPERLINK("http://gitlab.osmosys.co/tgm/guild-subcontractor-app/-/merge_requests/107", "fix: unexpected error messages on app resume")</f>
        <v/>
      </c>
      <c r="G1518" t="inlineStr">
        <is>
          <t>fix/validation-error-messages</t>
        </is>
      </c>
      <c r="H1518" t="inlineStr">
        <is>
          <t>GAL</t>
        </is>
      </c>
      <c r="I1518" t="inlineStr">
        <is>
          <t>merged</t>
        </is>
      </c>
      <c r="J1518" t="inlineStr"/>
      <c r="K1518" t="inlineStr"/>
      <c r="L1518" t="inlineStr"/>
      <c r="M1518" t="inlineStr"/>
      <c r="N1518" t="inlineStr"/>
      <c r="O1518" t="inlineStr"/>
      <c r="P1518" t="inlineStr"/>
      <c r="Q1518" t="inlineStr"/>
    </row>
    <row r="1519">
      <c r="A1519" t="inlineStr">
        <is>
          <t>paritoshkumar.j</t>
        </is>
      </c>
      <c r="B1519" t="inlineStr">
        <is>
          <t>Paritosh Kumar Jha</t>
        </is>
      </c>
      <c r="C1519" t="inlineStr">
        <is>
          <t>paritoshkumar.j@osmosys.co</t>
        </is>
      </c>
      <c r="D1519" t="inlineStr">
        <is>
          <t>tgm</t>
        </is>
      </c>
      <c r="E1519">
        <f>HYPERLINK("http://gitlab.osmosys.co/tgm/guild-subcontractor-app", "Guild subcontractor App")</f>
        <v/>
      </c>
      <c r="F1519">
        <f>HYPERLINK("http://gitlab.osmosys.co/tgm/guild-subcontractor-app/-/merge_requests/106", "feat: update conditions for rtw page visibility")</f>
        <v/>
      </c>
      <c r="G1519" t="inlineStr">
        <is>
          <t>feat/update-rtw-visibility</t>
        </is>
      </c>
      <c r="H1519" t="inlineStr">
        <is>
          <t>GAL</t>
        </is>
      </c>
      <c r="I1519" t="inlineStr">
        <is>
          <t>merged</t>
        </is>
      </c>
      <c r="J1519" t="inlineStr"/>
      <c r="K1519" t="inlineStr"/>
      <c r="L1519" t="inlineStr"/>
      <c r="M1519" t="inlineStr"/>
      <c r="N1519" t="inlineStr"/>
      <c r="O1519" t="inlineStr"/>
      <c r="P1519" t="inlineStr"/>
      <c r="Q1519" t="inlineStr"/>
    </row>
    <row r="1520">
      <c r="A1520" t="inlineStr">
        <is>
          <t>sagar.a</t>
        </is>
      </c>
      <c r="B1520" t="inlineStr">
        <is>
          <t>Sagar Aswar</t>
        </is>
      </c>
      <c r="C1520" t="inlineStr">
        <is>
          <t>sagar.a@osmosys.co</t>
        </is>
      </c>
      <c r="D1520" t="inlineStr">
        <is>
          <t>incident-reporter</t>
        </is>
      </c>
      <c r="E1520">
        <f>HYPERLINK("http://gitlab.osmosys.co/incident-reporter/incident-reporter-api", "OQSHA-API")</f>
        <v/>
      </c>
      <c r="F1520">
        <f>HYPERLINK("http://gitlab.osmosys.co/incident-reporter/incident-reporter-api/-/merge_requests/4482", "fix: remove kpi mapping call from get user by id api")</f>
        <v/>
      </c>
      <c r="G1520" t="inlineStr">
        <is>
          <t>fix/remove-kpi-call</t>
        </is>
      </c>
      <c r="H1520" t="inlineStr">
        <is>
          <t>sprint-19</t>
        </is>
      </c>
      <c r="I1520" t="inlineStr">
        <is>
          <t>opened</t>
        </is>
      </c>
      <c r="J1520" t="inlineStr"/>
      <c r="K1520" t="inlineStr"/>
      <c r="L1520" t="inlineStr"/>
      <c r="M1520" t="inlineStr"/>
      <c r="N1520" t="inlineStr"/>
      <c r="O1520" t="inlineStr"/>
      <c r="P1520" t="inlineStr"/>
      <c r="Q1520" t="inlineStr"/>
    </row>
    <row r="1521">
      <c r="A1521" t="inlineStr">
        <is>
          <t>sagar.a</t>
        </is>
      </c>
      <c r="B1521" t="inlineStr">
        <is>
          <t>Sagar Aswar</t>
        </is>
      </c>
      <c r="C1521" t="inlineStr">
        <is>
          <t>sagar.a@osmosys.co</t>
        </is>
      </c>
      <c r="D1521" t="inlineStr">
        <is>
          <t>incident-reporter</t>
        </is>
      </c>
      <c r="E1521">
        <f>HYPERLINK("http://gitlab.osmosys.co/incident-reporter/incident-reporter-api", "OQSHA-API")</f>
        <v/>
      </c>
      <c r="F1521">
        <f>HYPERLINK("http://gitlab.osmosys.co/incident-reporter/incident-reporter-api/-/merge_requests/4461", "feat: add changes to support answering multiple clarifications")</f>
        <v/>
      </c>
      <c r="G1521" t="inlineStr">
        <is>
          <t>feat/multiple-moc-clarifications</t>
        </is>
      </c>
      <c r="H1521" t="inlineStr">
        <is>
          <t>sprint-19</t>
        </is>
      </c>
      <c r="I1521" t="inlineStr">
        <is>
          <t>merged</t>
        </is>
      </c>
      <c r="J1521" t="inlineStr"/>
      <c r="K1521" t="inlineStr"/>
      <c r="L1521" t="inlineStr"/>
      <c r="M1521" t="inlineStr"/>
      <c r="N1521" t="inlineStr"/>
      <c r="O1521" t="inlineStr"/>
      <c r="P1521" t="inlineStr"/>
      <c r="Q1521" t="inlineStr"/>
    </row>
    <row r="1522">
      <c r="A1522" t="inlineStr">
        <is>
          <t>sagar.a</t>
        </is>
      </c>
      <c r="B1522" t="inlineStr">
        <is>
          <t>Sagar Aswar</t>
        </is>
      </c>
      <c r="C1522" t="inlineStr">
        <is>
          <t>sagar.a@osmosys.co</t>
        </is>
      </c>
      <c r="D1522" t="inlineStr">
        <is>
          <t>incident-reporter</t>
        </is>
      </c>
      <c r="E1522">
        <f>HYPERLINK("http://gitlab.osmosys.co/incident-reporter/incident-reporter-api", "OQSHA-API")</f>
        <v/>
      </c>
      <c r="F1522">
        <f>HYPERLINK("http://gitlab.osmosys.co/incident-reporter/incident-reporter-api/-/merge_requests/4456", "feat: add mapping for acm_app_modules_lookup table in module setup migration")</f>
        <v/>
      </c>
      <c r="G1522" t="inlineStr">
        <is>
          <t>fix/map-portalapp-modules</t>
        </is>
      </c>
      <c r="H1522" t="inlineStr">
        <is>
          <t>sprint-19</t>
        </is>
      </c>
      <c r="I1522" t="inlineStr">
        <is>
          <t>merged</t>
        </is>
      </c>
      <c r="J1522" t="inlineStr"/>
      <c r="K1522" t="inlineStr"/>
      <c r="L1522" t="inlineStr"/>
      <c r="M1522" t="inlineStr"/>
      <c r="N1522" t="inlineStr"/>
      <c r="O1522" t="inlineStr"/>
      <c r="P1522" t="inlineStr"/>
      <c r="Q1522" t="inlineStr"/>
    </row>
    <row r="1523">
      <c r="A1523" t="inlineStr">
        <is>
          <t>sagar.a</t>
        </is>
      </c>
      <c r="B1523" t="inlineStr">
        <is>
          <t>Sagar Aswar</t>
        </is>
      </c>
      <c r="C1523" t="inlineStr">
        <is>
          <t>sagar.a@osmosys.co</t>
        </is>
      </c>
      <c r="D1523" t="inlineStr">
        <is>
          <t>incident-reporter</t>
        </is>
      </c>
      <c r="E1523">
        <f>HYPERLINK("http://gitlab.osmosys.co/incident-reporter/incident-reporter-api", "OQSHA-API")</f>
        <v/>
      </c>
      <c r="F1523">
        <f>HYPERLINK("http://gitlab.osmosys.co/incident-reporter/incident-reporter-api/-/merge_requests/4439", "feat: merge hira update api &amp; comment api")</f>
        <v/>
      </c>
      <c r="G1523" t="inlineStr">
        <is>
          <t>feat/merge-hira-updatecomment</t>
        </is>
      </c>
      <c r="H1523" t="inlineStr">
        <is>
          <t>sprint-19</t>
        </is>
      </c>
      <c r="I1523" t="inlineStr">
        <is>
          <t>merged</t>
        </is>
      </c>
      <c r="J1523" t="inlineStr">
        <is>
          <t>44e8a68c41edfed38900a157be360c6433ef7f9a</t>
        </is>
      </c>
      <c r="K1523">
        <f>HYPERLINK("http://gitlab.osmosys.co/incident-reporter/incident-reporter-api/-/merge_requests/4439#note_245773", "why does this need to be private?")</f>
        <v/>
      </c>
      <c r="L1523" t="inlineStr">
        <is>
          <t>2025-08-01 19:18:32.376 IST</t>
        </is>
      </c>
      <c r="M1523" t="inlineStr">
        <is>
          <t>Sameer Shaik</t>
        </is>
      </c>
      <c r="N1523" t="inlineStr">
        <is>
          <t>Yes</t>
        </is>
      </c>
      <c r="O1523" t="inlineStr">
        <is>
          <t>Yes</t>
        </is>
      </c>
      <c r="P1523" t="inlineStr">
        <is>
          <t>Sameer Shaik</t>
        </is>
      </c>
      <c r="Q1523" t="inlineStr">
        <is>
          <t>Bad</t>
        </is>
      </c>
    </row>
    <row r="1524">
      <c r="A1524" t="inlineStr">
        <is>
          <t>sagar.a</t>
        </is>
      </c>
      <c r="B1524" t="inlineStr">
        <is>
          <t>Sagar Aswar</t>
        </is>
      </c>
      <c r="C1524" t="inlineStr">
        <is>
          <t>sagar.a@osmosys.co</t>
        </is>
      </c>
      <c r="D1524" t="inlineStr">
        <is>
          <t>incident-reporter</t>
        </is>
      </c>
      <c r="E1524">
        <f>HYPERLINK("http://gitlab.osmosys.co/incident-reporter/incident-reporter-api", "OQSHA-API")</f>
        <v/>
      </c>
      <c r="F1524">
        <f>HYPERLINK("http://gitlab.osmosys.co/incident-reporter/incident-reporter-api/-/merge_requests/4439", "feat: merge hira update api &amp; comment api")</f>
        <v/>
      </c>
      <c r="G1524" t="inlineStr">
        <is>
          <t>feat/merge-hira-updatecomment</t>
        </is>
      </c>
      <c r="H1524" t="inlineStr">
        <is>
          <t>sprint-19</t>
        </is>
      </c>
      <c r="I1524" t="inlineStr">
        <is>
          <t>merged</t>
        </is>
      </c>
      <c r="J1524" t="inlineStr">
        <is>
          <t>44e8a68c41edfed38900a157be360c6433ef7f9a</t>
        </is>
      </c>
      <c r="K1524">
        <f>HYPERLINK("http://gitlab.osmosys.co/incident-reporter/incident-reporter-api/-/merge_requests/4439#note_245793", "Added Obsolete attribute
Made the method public")</f>
        <v/>
      </c>
      <c r="L1524" t="inlineStr">
        <is>
          <t>2025-08-01 19:28:14.261 IST</t>
        </is>
      </c>
      <c r="M1524" t="inlineStr">
        <is>
          <t>Sagar Aswar</t>
        </is>
      </c>
      <c r="N1524" t="inlineStr">
        <is>
          <t>No</t>
        </is>
      </c>
      <c r="O1524" t="inlineStr">
        <is>
          <t>Yes</t>
        </is>
      </c>
      <c r="P1524" t="inlineStr">
        <is>
          <t>Sameer Shaik</t>
        </is>
      </c>
      <c r="Q1524" t="inlineStr">
        <is>
          <t>Bad</t>
        </is>
      </c>
    </row>
    <row r="1525">
      <c r="A1525" t="inlineStr">
        <is>
          <t>sagar.a</t>
        </is>
      </c>
      <c r="B1525" t="inlineStr">
        <is>
          <t>Sagar Aswar</t>
        </is>
      </c>
      <c r="C1525" t="inlineStr">
        <is>
          <t>sagar.a@osmosys.co</t>
        </is>
      </c>
      <c r="D1525" t="inlineStr">
        <is>
          <t>incident-reporter</t>
        </is>
      </c>
      <c r="E1525">
        <f>HYPERLINK("http://gitlab.osmosys.co/incident-reporter/incident-reporter-api", "OQSHA-API")</f>
        <v/>
      </c>
      <c r="F1525">
        <f>HYPERLINK("http://gitlab.osmosys.co/incident-reporter/incident-reporter-api/-/merge_requests/4432", "feat: merge moc comment api &amp; update api")</f>
        <v/>
      </c>
      <c r="G1525" t="inlineStr">
        <is>
          <t>feat/merge-moc-updatecomment</t>
        </is>
      </c>
      <c r="H1525" t="inlineStr">
        <is>
          <t>sprint-19</t>
        </is>
      </c>
      <c r="I1525" t="inlineStr">
        <is>
          <t>merged</t>
        </is>
      </c>
      <c r="J1525" t="inlineStr"/>
      <c r="K1525" t="inlineStr"/>
      <c r="L1525" t="inlineStr"/>
      <c r="M1525" t="inlineStr"/>
      <c r="N1525" t="inlineStr"/>
      <c r="O1525" t="inlineStr"/>
      <c r="P1525" t="inlineStr"/>
      <c r="Q1525" t="inlineStr"/>
    </row>
    <row r="1526">
      <c r="A1526" t="inlineStr">
        <is>
          <t>sagar.a</t>
        </is>
      </c>
      <c r="B1526" t="inlineStr">
        <is>
          <t>Sagar Aswar</t>
        </is>
      </c>
      <c r="C1526" t="inlineStr">
        <is>
          <t>sagar.a@osmosys.co</t>
        </is>
      </c>
      <c r="D1526" t="inlineStr">
        <is>
          <t>incident-reporter</t>
        </is>
      </c>
      <c r="E1526">
        <f>HYPERLINK("http://gitlab.osmosys.co/incident-reporter/incident-reporter-api", "OQSHA-API")</f>
        <v/>
      </c>
      <c r="F1526">
        <f>HYPERLINK("http://gitlab.osmosys.co/incident-reporter/incident-reporter-api/-/merge_requests/4418", "feat: add api to create incident management fir")</f>
        <v/>
      </c>
      <c r="G1526" t="inlineStr">
        <is>
          <t>feat/create-fir-api</t>
        </is>
      </c>
      <c r="H1526" t="inlineStr">
        <is>
          <t>sprint-19</t>
        </is>
      </c>
      <c r="I1526" t="inlineStr">
        <is>
          <t>merged</t>
        </is>
      </c>
      <c r="J1526" t="inlineStr">
        <is>
          <t>6d60f1078744e632db898c53d616c350167c645d</t>
        </is>
      </c>
      <c r="K1526">
        <f>HYPERLINK("http://gitlab.osmosys.co/incident-reporter/incident-reporter-api/-/merge_requests/4418#note_245632", "We have stopped these. you can drop them.")</f>
        <v/>
      </c>
      <c r="L1526" t="inlineStr">
        <is>
          <t>2025-08-01 17:07:32.600 IST</t>
        </is>
      </c>
      <c r="M1526" t="inlineStr">
        <is>
          <t>Sindhusha</t>
        </is>
      </c>
      <c r="N1526" t="inlineStr">
        <is>
          <t>Yes</t>
        </is>
      </c>
      <c r="O1526" t="inlineStr">
        <is>
          <t>Yes</t>
        </is>
      </c>
      <c r="P1526" t="inlineStr">
        <is>
          <t>Sindhusha</t>
        </is>
      </c>
      <c r="Q1526" t="inlineStr">
        <is>
          <t>Bad</t>
        </is>
      </c>
    </row>
    <row r="1527">
      <c r="A1527" t="inlineStr">
        <is>
          <t>sagar.a</t>
        </is>
      </c>
      <c r="B1527" t="inlineStr">
        <is>
          <t>Sagar Aswar</t>
        </is>
      </c>
      <c r="C1527" t="inlineStr">
        <is>
          <t>sagar.a@osmosys.co</t>
        </is>
      </c>
      <c r="D1527" t="inlineStr">
        <is>
          <t>incident-reporter</t>
        </is>
      </c>
      <c r="E1527">
        <f>HYPERLINK("http://gitlab.osmosys.co/incident-reporter/incident-reporter-api", "OQSHA-API")</f>
        <v/>
      </c>
      <c r="F1527">
        <f>HYPERLINK("http://gitlab.osmosys.co/incident-reporter/incident-reporter-api/-/merge_requests/4418", "feat: add api to create incident management fir")</f>
        <v/>
      </c>
      <c r="G1527" t="inlineStr">
        <is>
          <t>feat/create-fir-api</t>
        </is>
      </c>
      <c r="H1527" t="inlineStr">
        <is>
          <t>sprint-19</t>
        </is>
      </c>
      <c r="I1527" t="inlineStr">
        <is>
          <t>merged</t>
        </is>
      </c>
      <c r="J1527" t="inlineStr">
        <is>
          <t>6d60f1078744e632db898c53d616c350167c645d</t>
        </is>
      </c>
      <c r="K1527">
        <f>HYPERLINK("http://gitlab.osmosys.co/incident-reporter/incident-reporter-api/-/merge_requests/4418#note_245852", "Dropped the SQL Up &amp; Down files")</f>
        <v/>
      </c>
      <c r="L1527" t="inlineStr">
        <is>
          <t>2025-08-01 19:55:21.730 IST</t>
        </is>
      </c>
      <c r="M1527" t="inlineStr">
        <is>
          <t>Sagar Aswar</t>
        </is>
      </c>
      <c r="N1527" t="inlineStr">
        <is>
          <t>No</t>
        </is>
      </c>
      <c r="O1527" t="inlineStr">
        <is>
          <t>Yes</t>
        </is>
      </c>
      <c r="P1527" t="inlineStr">
        <is>
          <t>Sindhusha</t>
        </is>
      </c>
      <c r="Q1527" t="inlineStr">
        <is>
          <t>Bad</t>
        </is>
      </c>
    </row>
    <row r="1528">
      <c r="A1528" t="inlineStr">
        <is>
          <t>sagar.a</t>
        </is>
      </c>
      <c r="B1528" t="inlineStr">
        <is>
          <t>Sagar Aswar</t>
        </is>
      </c>
      <c r="C1528" t="inlineStr">
        <is>
          <t>sagar.a@osmosys.co</t>
        </is>
      </c>
      <c r="D1528" t="inlineStr">
        <is>
          <t>incident-reporter</t>
        </is>
      </c>
      <c r="E1528">
        <f>HYPERLINK("http://gitlab.osmosys.co/incident-reporter/incident-reporter-api", "OQSHA-API")</f>
        <v/>
      </c>
      <c r="F1528">
        <f>HYPERLINK("http://gitlab.osmosys.co/incident-reporter/incident-reporter-api/-/merge_requests/4418", "feat: add api to create incident management fir")</f>
        <v/>
      </c>
      <c r="G1528" t="inlineStr">
        <is>
          <t>feat/create-fir-api</t>
        </is>
      </c>
      <c r="H1528" t="inlineStr">
        <is>
          <t>sprint-19</t>
        </is>
      </c>
      <c r="I1528" t="inlineStr">
        <is>
          <t>merged</t>
        </is>
      </c>
      <c r="J1528" t="inlineStr">
        <is>
          <t>67459eb53672f18ae5ccd13ac8c7e105e4d6b6b4</t>
        </is>
      </c>
      <c r="K1528">
        <f>HYPERLINK("http://gitlab.osmosys.co/incident-reporter/incident-reporter-api/-/merge_requests/4418#note_245633", "This must 'Incident Management'")</f>
        <v/>
      </c>
      <c r="L1528" t="inlineStr">
        <is>
          <t>2025-08-01 17:08:13.110 IST</t>
        </is>
      </c>
      <c r="M1528" t="inlineStr">
        <is>
          <t>Sindhusha</t>
        </is>
      </c>
      <c r="N1528" t="inlineStr">
        <is>
          <t>Yes</t>
        </is>
      </c>
      <c r="O1528" t="inlineStr">
        <is>
          <t>Yes</t>
        </is>
      </c>
      <c r="P1528" t="inlineStr">
        <is>
          <t>Sindhusha</t>
        </is>
      </c>
      <c r="Q1528" t="inlineStr">
        <is>
          <t>Bad</t>
        </is>
      </c>
    </row>
    <row r="1529">
      <c r="A1529" t="inlineStr">
        <is>
          <t>sagar.a</t>
        </is>
      </c>
      <c r="B1529" t="inlineStr">
        <is>
          <t>Sagar Aswar</t>
        </is>
      </c>
      <c r="C1529" t="inlineStr">
        <is>
          <t>sagar.a@osmosys.co</t>
        </is>
      </c>
      <c r="D1529" t="inlineStr">
        <is>
          <t>incident-reporter</t>
        </is>
      </c>
      <c r="E1529">
        <f>HYPERLINK("http://gitlab.osmosys.co/incident-reporter/incident-reporter-api", "OQSHA-API")</f>
        <v/>
      </c>
      <c r="F1529">
        <f>HYPERLINK("http://gitlab.osmosys.co/incident-reporter/incident-reporter-api/-/merge_requests/4418", "feat: add api to create incident management fir")</f>
        <v/>
      </c>
      <c r="G1529" t="inlineStr">
        <is>
          <t>feat/create-fir-api</t>
        </is>
      </c>
      <c r="H1529" t="inlineStr">
        <is>
          <t>sprint-19</t>
        </is>
      </c>
      <c r="I1529" t="inlineStr">
        <is>
          <t>merged</t>
        </is>
      </c>
      <c r="J1529" t="inlineStr">
        <is>
          <t>67459eb53672f18ae5ccd13ac8c7e105e4d6b6b4</t>
        </is>
      </c>
      <c r="K1529">
        <f>HYPERLINK("http://gitlab.osmosys.co/incident-reporter/incident-reporter-api/-/merge_requests/4418#note_245833", "Updated to "Incident Management"")</f>
        <v/>
      </c>
      <c r="L1529" t="inlineStr">
        <is>
          <t>2025-08-01 19:50:37.606 IST</t>
        </is>
      </c>
      <c r="M1529" t="inlineStr">
        <is>
          <t>Sagar Aswar</t>
        </is>
      </c>
      <c r="N1529" t="inlineStr">
        <is>
          <t>No</t>
        </is>
      </c>
      <c r="O1529" t="inlineStr">
        <is>
          <t>Yes</t>
        </is>
      </c>
      <c r="P1529" t="inlineStr">
        <is>
          <t>Sindhusha</t>
        </is>
      </c>
      <c r="Q1529" t="inlineStr">
        <is>
          <t>Bad</t>
        </is>
      </c>
    </row>
    <row r="1530">
      <c r="A1530" t="inlineStr">
        <is>
          <t>sagar.a</t>
        </is>
      </c>
      <c r="B1530" t="inlineStr">
        <is>
          <t>Sagar Aswar</t>
        </is>
      </c>
      <c r="C1530" t="inlineStr">
        <is>
          <t>sagar.a@osmosys.co</t>
        </is>
      </c>
      <c r="D1530" t="inlineStr">
        <is>
          <t>incident-reporter</t>
        </is>
      </c>
      <c r="E1530">
        <f>HYPERLINK("http://gitlab.osmosys.co/incident-reporter/incident-reporter-api", "OQSHA-API")</f>
        <v/>
      </c>
      <c r="F1530">
        <f>HYPERLINK("http://gitlab.osmosys.co/incident-reporter/incident-reporter-api/-/merge_requests/4418", "feat: add api to create incident management fir")</f>
        <v/>
      </c>
      <c r="G1530" t="inlineStr">
        <is>
          <t>feat/create-fir-api</t>
        </is>
      </c>
      <c r="H1530" t="inlineStr">
        <is>
          <t>sprint-19</t>
        </is>
      </c>
      <c r="I1530" t="inlineStr">
        <is>
          <t>merged</t>
        </is>
      </c>
      <c r="J1530" t="inlineStr">
        <is>
          <t>f676252dea9653d4f564c023e75092da50a7e90f</t>
        </is>
      </c>
      <c r="K1530">
        <f>HYPERLINK("http://gitlab.osmosys.co/incident-reporter/incident-reporter-api/-/merge_requests/4418#note_245637", "We can rename this to incident_management_incidents. firs is misleading.")</f>
        <v/>
      </c>
      <c r="L1530" t="inlineStr">
        <is>
          <t>2025-08-01 17:09:36.443 IST</t>
        </is>
      </c>
      <c r="M1530" t="inlineStr">
        <is>
          <t>Sindhusha</t>
        </is>
      </c>
      <c r="N1530" t="inlineStr">
        <is>
          <t>Yes</t>
        </is>
      </c>
      <c r="O1530" t="inlineStr">
        <is>
          <t>Yes</t>
        </is>
      </c>
      <c r="P1530" t="inlineStr">
        <is>
          <t>Sindhusha</t>
        </is>
      </c>
      <c r="Q1530" t="inlineStr">
        <is>
          <t>Bad</t>
        </is>
      </c>
    </row>
    <row r="1531">
      <c r="A1531" t="inlineStr">
        <is>
          <t>sagar.a</t>
        </is>
      </c>
      <c r="B1531" t="inlineStr">
        <is>
          <t>Sagar Aswar</t>
        </is>
      </c>
      <c r="C1531" t="inlineStr">
        <is>
          <t>sagar.a@osmosys.co</t>
        </is>
      </c>
      <c r="D1531" t="inlineStr">
        <is>
          <t>incident-reporter</t>
        </is>
      </c>
      <c r="E1531">
        <f>HYPERLINK("http://gitlab.osmosys.co/incident-reporter/incident-reporter-api", "OQSHA-API")</f>
        <v/>
      </c>
      <c r="F1531">
        <f>HYPERLINK("http://gitlab.osmosys.co/incident-reporter/incident-reporter-api/-/merge_requests/4418", "feat: add api to create incident management fir")</f>
        <v/>
      </c>
      <c r="G1531" t="inlineStr">
        <is>
          <t>feat/create-fir-api</t>
        </is>
      </c>
      <c r="H1531" t="inlineStr">
        <is>
          <t>sprint-19</t>
        </is>
      </c>
      <c r="I1531" t="inlineStr">
        <is>
          <t>merged</t>
        </is>
      </c>
      <c r="J1531" t="inlineStr">
        <is>
          <t>f676252dea9653d4f564c023e75092da50a7e90f</t>
        </is>
      </c>
      <c r="K1531">
        <f>HYPERLINK("http://gitlab.osmosys.co/incident-reporter/incident-reporter-api/-/merge_requests/4418#note_245834", "Renamed to incident_management_incidents")</f>
        <v/>
      </c>
      <c r="L1531" t="inlineStr">
        <is>
          <t>2025-08-01 19:50:51.089 IST</t>
        </is>
      </c>
      <c r="M1531" t="inlineStr">
        <is>
          <t>Sagar Aswar</t>
        </is>
      </c>
      <c r="N1531" t="inlineStr">
        <is>
          <t>No</t>
        </is>
      </c>
      <c r="O1531" t="inlineStr">
        <is>
          <t>Yes</t>
        </is>
      </c>
      <c r="P1531" t="inlineStr">
        <is>
          <t>Sindhusha</t>
        </is>
      </c>
      <c r="Q1531" t="inlineStr">
        <is>
          <t>Bad</t>
        </is>
      </c>
    </row>
    <row r="1532">
      <c r="A1532" t="inlineStr">
        <is>
          <t>sagar.a</t>
        </is>
      </c>
      <c r="B1532" t="inlineStr">
        <is>
          <t>Sagar Aswar</t>
        </is>
      </c>
      <c r="C1532" t="inlineStr">
        <is>
          <t>sagar.a@osmosys.co</t>
        </is>
      </c>
      <c r="D1532" t="inlineStr">
        <is>
          <t>incident-reporter</t>
        </is>
      </c>
      <c r="E1532">
        <f>HYPERLINK("http://gitlab.osmosys.co/incident-reporter/incident-reporter-api", "OQSHA-API")</f>
        <v/>
      </c>
      <c r="F1532">
        <f>HYPERLINK("http://gitlab.osmosys.co/incident-reporter/incident-reporter-api/-/merge_requests/4418", "feat: add api to create incident management fir")</f>
        <v/>
      </c>
      <c r="G1532" t="inlineStr">
        <is>
          <t>feat/create-fir-api</t>
        </is>
      </c>
      <c r="H1532" t="inlineStr">
        <is>
          <t>sprint-19</t>
        </is>
      </c>
      <c r="I1532" t="inlineStr">
        <is>
          <t>merged</t>
        </is>
      </c>
      <c r="J1532" t="inlineStr">
        <is>
          <t>a686b597b6ac25de101327af7add7f9bf7328ff1</t>
        </is>
      </c>
      <c r="K1532">
        <f>HYPERLINK("http://gitlab.osmosys.co/incident-reporter/incident-reporter-api/-/merge_requests/4418#note_245638", "Keep it just uid")</f>
        <v/>
      </c>
      <c r="L1532" t="inlineStr">
        <is>
          <t>2025-08-01 17:09:46.005 IST</t>
        </is>
      </c>
      <c r="M1532" t="inlineStr">
        <is>
          <t>Sindhusha</t>
        </is>
      </c>
      <c r="N1532" t="inlineStr">
        <is>
          <t>Yes</t>
        </is>
      </c>
      <c r="O1532" t="inlineStr">
        <is>
          <t>Yes</t>
        </is>
      </c>
      <c r="P1532" t="inlineStr">
        <is>
          <t>Sindhusha</t>
        </is>
      </c>
      <c r="Q1532" t="inlineStr">
        <is>
          <t>Bad</t>
        </is>
      </c>
    </row>
    <row r="1533">
      <c r="A1533" t="inlineStr">
        <is>
          <t>sagar.a</t>
        </is>
      </c>
      <c r="B1533" t="inlineStr">
        <is>
          <t>Sagar Aswar</t>
        </is>
      </c>
      <c r="C1533" t="inlineStr">
        <is>
          <t>sagar.a@osmosys.co</t>
        </is>
      </c>
      <c r="D1533" t="inlineStr">
        <is>
          <t>incident-reporter</t>
        </is>
      </c>
      <c r="E1533">
        <f>HYPERLINK("http://gitlab.osmosys.co/incident-reporter/incident-reporter-api", "OQSHA-API")</f>
        <v/>
      </c>
      <c r="F1533">
        <f>HYPERLINK("http://gitlab.osmosys.co/incident-reporter/incident-reporter-api/-/merge_requests/4418", "feat: add api to create incident management fir")</f>
        <v/>
      </c>
      <c r="G1533" t="inlineStr">
        <is>
          <t>feat/create-fir-api</t>
        </is>
      </c>
      <c r="H1533" t="inlineStr">
        <is>
          <t>sprint-19</t>
        </is>
      </c>
      <c r="I1533" t="inlineStr">
        <is>
          <t>merged</t>
        </is>
      </c>
      <c r="J1533" t="inlineStr">
        <is>
          <t>a686b597b6ac25de101327af7add7f9bf7328ff1</t>
        </is>
      </c>
      <c r="K1533">
        <f>HYPERLINK("http://gitlab.osmosys.co/incident-reporter/incident-reporter-api/-/merge_requests/4418#note_245835", "Updated to uid")</f>
        <v/>
      </c>
      <c r="L1533" t="inlineStr">
        <is>
          <t>2025-08-01 19:51:01.632 IST</t>
        </is>
      </c>
      <c r="M1533" t="inlineStr">
        <is>
          <t>Sagar Aswar</t>
        </is>
      </c>
      <c r="N1533" t="inlineStr">
        <is>
          <t>No</t>
        </is>
      </c>
      <c r="O1533" t="inlineStr">
        <is>
          <t>Yes</t>
        </is>
      </c>
      <c r="P1533" t="inlineStr">
        <is>
          <t>Sindhusha</t>
        </is>
      </c>
      <c r="Q1533" t="inlineStr">
        <is>
          <t>Bad</t>
        </is>
      </c>
    </row>
    <row r="1534">
      <c r="A1534" t="inlineStr">
        <is>
          <t>sagar.a</t>
        </is>
      </c>
      <c r="B1534" t="inlineStr">
        <is>
          <t>Sagar Aswar</t>
        </is>
      </c>
      <c r="C1534" t="inlineStr">
        <is>
          <t>sagar.a@osmosys.co</t>
        </is>
      </c>
      <c r="D1534" t="inlineStr">
        <is>
          <t>incident-reporter</t>
        </is>
      </c>
      <c r="E1534">
        <f>HYPERLINK("http://gitlab.osmosys.co/incident-reporter/incident-reporter-api", "OQSHA-API")</f>
        <v/>
      </c>
      <c r="F1534">
        <f>HYPERLINK("http://gitlab.osmosys.co/incident-reporter/incident-reporter-api/-/merge_requests/4418", "feat: add api to create incident management fir")</f>
        <v/>
      </c>
      <c r="G1534" t="inlineStr">
        <is>
          <t>feat/create-fir-api</t>
        </is>
      </c>
      <c r="H1534" t="inlineStr">
        <is>
          <t>sprint-19</t>
        </is>
      </c>
      <c r="I1534" t="inlineStr">
        <is>
          <t>merged</t>
        </is>
      </c>
      <c r="J1534" t="inlineStr">
        <is>
          <t>fb412709fcfacbe1595e2431ff0a67bca1439575</t>
        </is>
      </c>
      <c r="K1534">
        <f>HYPERLINK("http://gitlab.osmosys.co/incident-reporter/incident-reporter-api/-/merge_requests/4418#note_245639", "just category_id is good enough")</f>
        <v/>
      </c>
      <c r="L1534" t="inlineStr">
        <is>
          <t>2025-08-01 17:10:26.218 IST</t>
        </is>
      </c>
      <c r="M1534" t="inlineStr">
        <is>
          <t>Sindhusha</t>
        </is>
      </c>
      <c r="N1534" t="inlineStr">
        <is>
          <t>Yes</t>
        </is>
      </c>
      <c r="O1534" t="inlineStr">
        <is>
          <t>Yes</t>
        </is>
      </c>
      <c r="P1534" t="inlineStr">
        <is>
          <t>Sindhusha</t>
        </is>
      </c>
      <c r="Q1534" t="inlineStr">
        <is>
          <t>Bad</t>
        </is>
      </c>
    </row>
    <row r="1535">
      <c r="A1535" t="inlineStr">
        <is>
          <t>sagar.a</t>
        </is>
      </c>
      <c r="B1535" t="inlineStr">
        <is>
          <t>Sagar Aswar</t>
        </is>
      </c>
      <c r="C1535" t="inlineStr">
        <is>
          <t>sagar.a@osmosys.co</t>
        </is>
      </c>
      <c r="D1535" t="inlineStr">
        <is>
          <t>incident-reporter</t>
        </is>
      </c>
      <c r="E1535">
        <f>HYPERLINK("http://gitlab.osmosys.co/incident-reporter/incident-reporter-api", "OQSHA-API")</f>
        <v/>
      </c>
      <c r="F1535">
        <f>HYPERLINK("http://gitlab.osmosys.co/incident-reporter/incident-reporter-api/-/merge_requests/4418", "feat: add api to create incident management fir")</f>
        <v/>
      </c>
      <c r="G1535" t="inlineStr">
        <is>
          <t>feat/create-fir-api</t>
        </is>
      </c>
      <c r="H1535" t="inlineStr">
        <is>
          <t>sprint-19</t>
        </is>
      </c>
      <c r="I1535" t="inlineStr">
        <is>
          <t>merged</t>
        </is>
      </c>
      <c r="J1535" t="inlineStr">
        <is>
          <t>fb412709fcfacbe1595e2431ff0a67bca1439575</t>
        </is>
      </c>
      <c r="K1535">
        <f>HYPERLINK("http://gitlab.osmosys.co/incident-reporter/incident-reporter-api/-/merge_requests/4418#note_245836", "Updated to CategoryId")</f>
        <v/>
      </c>
      <c r="L1535" t="inlineStr">
        <is>
          <t>2025-08-01 19:51:14.874 IST</t>
        </is>
      </c>
      <c r="M1535" t="inlineStr">
        <is>
          <t>Sagar Aswar</t>
        </is>
      </c>
      <c r="N1535" t="inlineStr">
        <is>
          <t>No</t>
        </is>
      </c>
      <c r="O1535" t="inlineStr">
        <is>
          <t>Yes</t>
        </is>
      </c>
      <c r="P1535" t="inlineStr">
        <is>
          <t>Sindhusha</t>
        </is>
      </c>
      <c r="Q1535" t="inlineStr">
        <is>
          <t>Bad</t>
        </is>
      </c>
    </row>
    <row r="1536">
      <c r="A1536" t="inlineStr">
        <is>
          <t>sagar.a</t>
        </is>
      </c>
      <c r="B1536" t="inlineStr">
        <is>
          <t>Sagar Aswar</t>
        </is>
      </c>
      <c r="C1536" t="inlineStr">
        <is>
          <t>sagar.a@osmosys.co</t>
        </is>
      </c>
      <c r="D1536" t="inlineStr">
        <is>
          <t>incident-reporter</t>
        </is>
      </c>
      <c r="E1536">
        <f>HYPERLINK("http://gitlab.osmosys.co/incident-reporter/incident-reporter-api", "OQSHA-API")</f>
        <v/>
      </c>
      <c r="F1536">
        <f>HYPERLINK("http://gitlab.osmosys.co/incident-reporter/incident-reporter-api/-/merge_requests/4418", "feat: add api to create incident management fir")</f>
        <v/>
      </c>
      <c r="G1536" t="inlineStr">
        <is>
          <t>feat/create-fir-api</t>
        </is>
      </c>
      <c r="H1536" t="inlineStr">
        <is>
          <t>sprint-19</t>
        </is>
      </c>
      <c r="I1536" t="inlineStr">
        <is>
          <t>merged</t>
        </is>
      </c>
      <c r="J1536" t="inlineStr">
        <is>
          <t>c52ecdf8c24a2a17f9f40c19b98ca545a2a02e7e</t>
        </is>
      </c>
      <c r="K1536">
        <f>HYPERLINK("http://gitlab.osmosys.co/incident-reporter/incident-reporter-api/-/merge_requests/4418#note_245640", "Can remove fir prefix to the columns")</f>
        <v/>
      </c>
      <c r="L1536" t="inlineStr">
        <is>
          <t>2025-08-01 17:11:01.393 IST</t>
        </is>
      </c>
      <c r="M1536" t="inlineStr">
        <is>
          <t>Sindhusha</t>
        </is>
      </c>
      <c r="N1536" t="inlineStr">
        <is>
          <t>Yes</t>
        </is>
      </c>
      <c r="O1536" t="inlineStr">
        <is>
          <t>Yes</t>
        </is>
      </c>
      <c r="P1536" t="inlineStr">
        <is>
          <t>Sindhusha</t>
        </is>
      </c>
      <c r="Q1536" t="inlineStr">
        <is>
          <t>Bad</t>
        </is>
      </c>
    </row>
    <row r="1537">
      <c r="A1537" t="inlineStr">
        <is>
          <t>sagar.a</t>
        </is>
      </c>
      <c r="B1537" t="inlineStr">
        <is>
          <t>Sagar Aswar</t>
        </is>
      </c>
      <c r="C1537" t="inlineStr">
        <is>
          <t>sagar.a@osmosys.co</t>
        </is>
      </c>
      <c r="D1537" t="inlineStr">
        <is>
          <t>incident-reporter</t>
        </is>
      </c>
      <c r="E1537">
        <f>HYPERLINK("http://gitlab.osmosys.co/incident-reporter/incident-reporter-api", "OQSHA-API")</f>
        <v/>
      </c>
      <c r="F1537">
        <f>HYPERLINK("http://gitlab.osmosys.co/incident-reporter/incident-reporter-api/-/merge_requests/4418", "feat: add api to create incident management fir")</f>
        <v/>
      </c>
      <c r="G1537" t="inlineStr">
        <is>
          <t>feat/create-fir-api</t>
        </is>
      </c>
      <c r="H1537" t="inlineStr">
        <is>
          <t>sprint-19</t>
        </is>
      </c>
      <c r="I1537" t="inlineStr">
        <is>
          <t>merged</t>
        </is>
      </c>
      <c r="J1537" t="inlineStr">
        <is>
          <t>c52ecdf8c24a2a17f9f40c19b98ca545a2a02e7e</t>
        </is>
      </c>
      <c r="K1537">
        <f>HYPERLINK("http://gitlab.osmosys.co/incident-reporter/incident-reporter-api/-/merge_requests/4418#note_245837", "Removed the fir prefix")</f>
        <v/>
      </c>
      <c r="L1537" t="inlineStr">
        <is>
          <t>2025-08-01 19:51:27.612 IST</t>
        </is>
      </c>
      <c r="M1537" t="inlineStr">
        <is>
          <t>Sagar Aswar</t>
        </is>
      </c>
      <c r="N1537" t="inlineStr">
        <is>
          <t>No</t>
        </is>
      </c>
      <c r="O1537" t="inlineStr">
        <is>
          <t>Yes</t>
        </is>
      </c>
      <c r="P1537" t="inlineStr">
        <is>
          <t>Sindhusha</t>
        </is>
      </c>
      <c r="Q1537" t="inlineStr">
        <is>
          <t>Bad</t>
        </is>
      </c>
    </row>
    <row r="1538">
      <c r="A1538" t="inlineStr">
        <is>
          <t>sagar.a</t>
        </is>
      </c>
      <c r="B1538" t="inlineStr">
        <is>
          <t>Sagar Aswar</t>
        </is>
      </c>
      <c r="C1538" t="inlineStr">
        <is>
          <t>sagar.a@osmosys.co</t>
        </is>
      </c>
      <c r="D1538" t="inlineStr">
        <is>
          <t>incident-reporter</t>
        </is>
      </c>
      <c r="E1538">
        <f>HYPERLINK("http://gitlab.osmosys.co/incident-reporter/incident-reporter-api", "OQSHA-API")</f>
        <v/>
      </c>
      <c r="F1538">
        <f>HYPERLINK("http://gitlab.osmosys.co/incident-reporter/incident-reporter-api/-/merge_requests/4418", "feat: add api to create incident management fir")</f>
        <v/>
      </c>
      <c r="G1538" t="inlineStr">
        <is>
          <t>feat/create-fir-api</t>
        </is>
      </c>
      <c r="H1538" t="inlineStr">
        <is>
          <t>sprint-19</t>
        </is>
      </c>
      <c r="I1538" t="inlineStr">
        <is>
          <t>merged</t>
        </is>
      </c>
      <c r="J1538" t="inlineStr">
        <is>
          <t>d760498384be13aa77fd0c80e21ae4f4a7756de5</t>
        </is>
      </c>
      <c r="K1538">
        <f>HYPERLINK("http://gitlab.osmosys.co/incident-reporter/incident-reporter-api/-/merge_requests/4418#note_245642", "incident_management_fir_checks to incident_management_incident_checks. Same goes to other tables")</f>
        <v/>
      </c>
      <c r="L1538" t="inlineStr">
        <is>
          <t>2025-08-01 17:11:18.419 IST</t>
        </is>
      </c>
      <c r="M1538" t="inlineStr">
        <is>
          <t>Sindhusha</t>
        </is>
      </c>
      <c r="N1538" t="inlineStr">
        <is>
          <t>Yes</t>
        </is>
      </c>
      <c r="O1538" t="inlineStr">
        <is>
          <t>Yes</t>
        </is>
      </c>
      <c r="P1538" t="inlineStr">
        <is>
          <t>Sindhusha</t>
        </is>
      </c>
      <c r="Q1538" t="inlineStr">
        <is>
          <t>Bad</t>
        </is>
      </c>
    </row>
    <row r="1539">
      <c r="A1539" t="inlineStr">
        <is>
          <t>sagar.a</t>
        </is>
      </c>
      <c r="B1539" t="inlineStr">
        <is>
          <t>Sagar Aswar</t>
        </is>
      </c>
      <c r="C1539" t="inlineStr">
        <is>
          <t>sagar.a@osmosys.co</t>
        </is>
      </c>
      <c r="D1539" t="inlineStr">
        <is>
          <t>incident-reporter</t>
        </is>
      </c>
      <c r="E1539">
        <f>HYPERLINK("http://gitlab.osmosys.co/incident-reporter/incident-reporter-api", "OQSHA-API")</f>
        <v/>
      </c>
      <c r="F1539">
        <f>HYPERLINK("http://gitlab.osmosys.co/incident-reporter/incident-reporter-api/-/merge_requests/4418", "feat: add api to create incident management fir")</f>
        <v/>
      </c>
      <c r="G1539" t="inlineStr">
        <is>
          <t>feat/create-fir-api</t>
        </is>
      </c>
      <c r="H1539" t="inlineStr">
        <is>
          <t>sprint-19</t>
        </is>
      </c>
      <c r="I1539" t="inlineStr">
        <is>
          <t>merged</t>
        </is>
      </c>
      <c r="J1539" t="inlineStr">
        <is>
          <t>d760498384be13aa77fd0c80e21ae4f4a7756de5</t>
        </is>
      </c>
      <c r="K1539">
        <f>HYPERLINK("http://gitlab.osmosys.co/incident-reporter/incident-reporter-api/-/merge_requests/4418#note_245838", "Updated to incident_management_incident_checks")</f>
        <v/>
      </c>
      <c r="L1539" t="inlineStr">
        <is>
          <t>2025-08-01 19:51:41.244 IST</t>
        </is>
      </c>
      <c r="M1539" t="inlineStr">
        <is>
          <t>Sagar Aswar</t>
        </is>
      </c>
      <c r="N1539" t="inlineStr">
        <is>
          <t>No</t>
        </is>
      </c>
      <c r="O1539" t="inlineStr">
        <is>
          <t>Yes</t>
        </is>
      </c>
      <c r="P1539" t="inlineStr">
        <is>
          <t>Sindhusha</t>
        </is>
      </c>
      <c r="Q1539" t="inlineStr">
        <is>
          <t>Bad</t>
        </is>
      </c>
    </row>
    <row r="1540">
      <c r="A1540" t="inlineStr">
        <is>
          <t>sagar.a</t>
        </is>
      </c>
      <c r="B1540" t="inlineStr">
        <is>
          <t>Sagar Aswar</t>
        </is>
      </c>
      <c r="C1540" t="inlineStr">
        <is>
          <t>sagar.a@osmosys.co</t>
        </is>
      </c>
      <c r="D1540" t="inlineStr">
        <is>
          <t>incident-reporter</t>
        </is>
      </c>
      <c r="E1540">
        <f>HYPERLINK("http://gitlab.osmosys.co/incident-reporter/incident-reporter-api", "OQSHA-API")</f>
        <v/>
      </c>
      <c r="F1540">
        <f>HYPERLINK("http://gitlab.osmosys.co/incident-reporter/incident-reporter-api/-/merge_requests/4418", "feat: add api to create incident management fir")</f>
        <v/>
      </c>
      <c r="G1540" t="inlineStr">
        <is>
          <t>feat/create-fir-api</t>
        </is>
      </c>
      <c r="H1540" t="inlineStr">
        <is>
          <t>sprint-19</t>
        </is>
      </c>
      <c r="I1540" t="inlineStr">
        <is>
          <t>merged</t>
        </is>
      </c>
      <c r="J1540" t="inlineStr">
        <is>
          <t>0ead60150d2bba5d13411f872e9931ae54b7ce69</t>
        </is>
      </c>
      <c r="K1540">
        <f>HYPERLINK("http://gitlab.osmosys.co/incident-reporter/incident-reporter-api/-/merge_requests/4418#note_245643", "Remove Fir &amp; add Incident
Function name can be CreateIncidentManagementIncidentAsync")</f>
        <v/>
      </c>
      <c r="L1540" t="inlineStr">
        <is>
          <t>2025-08-01 17:11:57.879 IST</t>
        </is>
      </c>
      <c r="M1540" t="inlineStr">
        <is>
          <t>Sindhusha</t>
        </is>
      </c>
      <c r="N1540" t="inlineStr">
        <is>
          <t>Yes</t>
        </is>
      </c>
      <c r="O1540" t="inlineStr">
        <is>
          <t>Yes</t>
        </is>
      </c>
      <c r="P1540" t="inlineStr">
        <is>
          <t>Sindhusha</t>
        </is>
      </c>
      <c r="Q1540" t="inlineStr">
        <is>
          <t>Bad</t>
        </is>
      </c>
    </row>
    <row r="1541">
      <c r="A1541" t="inlineStr">
        <is>
          <t>sagar.a</t>
        </is>
      </c>
      <c r="B1541" t="inlineStr">
        <is>
          <t>Sagar Aswar</t>
        </is>
      </c>
      <c r="C1541" t="inlineStr">
        <is>
          <t>sagar.a@osmosys.co</t>
        </is>
      </c>
      <c r="D1541" t="inlineStr">
        <is>
          <t>incident-reporter</t>
        </is>
      </c>
      <c r="E1541">
        <f>HYPERLINK("http://gitlab.osmosys.co/incident-reporter/incident-reporter-api", "OQSHA-API")</f>
        <v/>
      </c>
      <c r="F1541">
        <f>HYPERLINK("http://gitlab.osmosys.co/incident-reporter/incident-reporter-api/-/merge_requests/4418", "feat: add api to create incident management fir")</f>
        <v/>
      </c>
      <c r="G1541" t="inlineStr">
        <is>
          <t>feat/create-fir-api</t>
        </is>
      </c>
      <c r="H1541" t="inlineStr">
        <is>
          <t>sprint-19</t>
        </is>
      </c>
      <c r="I1541" t="inlineStr">
        <is>
          <t>merged</t>
        </is>
      </c>
      <c r="J1541" t="inlineStr">
        <is>
          <t>0ead60150d2bba5d13411f872e9931ae54b7ce69</t>
        </is>
      </c>
      <c r="K1541">
        <f>HYPERLINK("http://gitlab.osmosys.co/incident-reporter/incident-reporter-api/-/merge_requests/4418#note_245839", "Updated the FIR to Incident in these occurrences")</f>
        <v/>
      </c>
      <c r="L1541" t="inlineStr">
        <is>
          <t>2025-08-01 19:51:59.202 IST</t>
        </is>
      </c>
      <c r="M1541" t="inlineStr">
        <is>
          <t>Sagar Aswar</t>
        </is>
      </c>
      <c r="N1541" t="inlineStr">
        <is>
          <t>No</t>
        </is>
      </c>
      <c r="O1541" t="inlineStr">
        <is>
          <t>Yes</t>
        </is>
      </c>
      <c r="P1541" t="inlineStr">
        <is>
          <t>Sindhusha</t>
        </is>
      </c>
      <c r="Q1541" t="inlineStr">
        <is>
          <t>Bad</t>
        </is>
      </c>
    </row>
    <row r="1542">
      <c r="A1542" t="inlineStr">
        <is>
          <t>sagar.a</t>
        </is>
      </c>
      <c r="B1542" t="inlineStr">
        <is>
          <t>Sagar Aswar</t>
        </is>
      </c>
      <c r="C1542" t="inlineStr">
        <is>
          <t>sagar.a@osmosys.co</t>
        </is>
      </c>
      <c r="D1542" t="inlineStr">
        <is>
          <t>incident-reporter</t>
        </is>
      </c>
      <c r="E1542">
        <f>HYPERLINK("http://gitlab.osmosys.co/incident-reporter/incident-reporter-api", "OQSHA-API")</f>
        <v/>
      </c>
      <c r="F1542">
        <f>HYPERLINK("http://gitlab.osmosys.co/incident-reporter/incident-reporter-api/-/merge_requests/4391", "feat: drop moc signatures")</f>
        <v/>
      </c>
      <c r="G1542" t="inlineStr">
        <is>
          <t>feat/drop-moc-signatures</t>
        </is>
      </c>
      <c r="H1542" t="inlineStr">
        <is>
          <t>sprint-19</t>
        </is>
      </c>
      <c r="I1542" t="inlineStr">
        <is>
          <t>merged</t>
        </is>
      </c>
      <c r="J1542" t="inlineStr"/>
      <c r="K1542" t="inlineStr"/>
      <c r="L1542" t="inlineStr"/>
      <c r="M1542" t="inlineStr"/>
      <c r="N1542" t="inlineStr"/>
      <c r="O1542" t="inlineStr"/>
      <c r="P1542" t="inlineStr"/>
      <c r="Q1542" t="inlineStr"/>
    </row>
    <row r="1543">
      <c r="A1543" t="inlineStr">
        <is>
          <t>sagar.a</t>
        </is>
      </c>
      <c r="B1543" t="inlineStr">
        <is>
          <t>Sagar Aswar</t>
        </is>
      </c>
      <c r="C1543" t="inlineStr">
        <is>
          <t>sagar.a@osmosys.co</t>
        </is>
      </c>
      <c r="D1543" t="inlineStr">
        <is>
          <t>incident-reporter</t>
        </is>
      </c>
      <c r="E1543">
        <f>HYPERLINK("http://gitlab.osmosys.co/incident-reporter/incident-reporter-api", "OQSHA-API")</f>
        <v/>
      </c>
      <c r="F1543">
        <f>HYPERLINK("http://gitlab.osmosys.co/incident-reporter/incident-reporter-api/-/merge_requests/4377", "fix: add minimum loop count for update risk assessment api")</f>
        <v/>
      </c>
      <c r="G1543" t="inlineStr">
        <is>
          <t>fix/hira-activity-count</t>
        </is>
      </c>
      <c r="H1543" t="inlineStr">
        <is>
          <t>sprint-18</t>
        </is>
      </c>
      <c r="I1543" t="inlineStr">
        <is>
          <t>merged</t>
        </is>
      </c>
      <c r="J1543" t="inlineStr"/>
      <c r="K1543" t="inlineStr"/>
      <c r="L1543" t="inlineStr"/>
      <c r="M1543" t="inlineStr"/>
      <c r="N1543" t="inlineStr"/>
      <c r="O1543" t="inlineStr"/>
      <c r="P1543" t="inlineStr"/>
      <c r="Q1543" t="inlineStr"/>
    </row>
    <row r="1544">
      <c r="A1544" t="inlineStr">
        <is>
          <t>sagar.a</t>
        </is>
      </c>
      <c r="B1544" t="inlineStr">
        <is>
          <t>Sagar Aswar</t>
        </is>
      </c>
      <c r="C1544" t="inlineStr">
        <is>
          <t>sagar.a@osmosys.co</t>
        </is>
      </c>
      <c r="D1544" t="inlineStr">
        <is>
          <t>incident-reporter</t>
        </is>
      </c>
      <c r="E1544">
        <f>HYPERLINK("http://gitlab.osmosys.co/incident-reporter/incident-reporter-api", "OQSHA-API")</f>
        <v/>
      </c>
      <c r="F1544">
        <f>HYPERLINK("http://gitlab.osmosys.co/incident-reporter/incident-reporter-api/-/merge_requests/4371", "feat: add pending with column to moc list and export apis")</f>
        <v/>
      </c>
      <c r="G1544" t="inlineStr">
        <is>
          <t>feat/moc-pendingwith</t>
        </is>
      </c>
      <c r="H1544" t="inlineStr">
        <is>
          <t>sprint-19</t>
        </is>
      </c>
      <c r="I1544" t="inlineStr">
        <is>
          <t>merged</t>
        </is>
      </c>
      <c r="J1544" t="inlineStr"/>
      <c r="K1544" t="inlineStr"/>
      <c r="L1544" t="inlineStr"/>
      <c r="M1544" t="inlineStr"/>
      <c r="N1544" t="inlineStr"/>
      <c r="O1544" t="inlineStr"/>
      <c r="P1544" t="inlineStr"/>
      <c r="Q1544" t="inlineStr"/>
    </row>
    <row r="1545">
      <c r="A1545" t="inlineStr">
        <is>
          <t>sagar.a</t>
        </is>
      </c>
      <c r="B1545" t="inlineStr">
        <is>
          <t>Sagar Aswar</t>
        </is>
      </c>
      <c r="C1545" t="inlineStr">
        <is>
          <t>sagar.a@osmosys.co</t>
        </is>
      </c>
      <c r="D1545" t="inlineStr">
        <is>
          <t>incident-reporter</t>
        </is>
      </c>
      <c r="E1545">
        <f>HYPERLINK("http://gitlab.osmosys.co/incident-reporter/incident-reporter-api", "OQSHA-API")</f>
        <v/>
      </c>
      <c r="F1545">
        <f>HYPERLINK("http://gitlab.osmosys.co/incident-reporter/incident-reporter-api/-/merge_requests/4361", "fix: add missing flag in ptw preferences")</f>
        <v/>
      </c>
      <c r="G1545" t="inlineStr">
        <is>
          <t>fix/add-supportshifts-flag</t>
        </is>
      </c>
      <c r="H1545" t="inlineStr">
        <is>
          <t>sprint-18</t>
        </is>
      </c>
      <c r="I1545" t="inlineStr">
        <is>
          <t>merged</t>
        </is>
      </c>
      <c r="J1545" t="inlineStr"/>
      <c r="K1545" t="inlineStr"/>
      <c r="L1545" t="inlineStr"/>
      <c r="M1545" t="inlineStr"/>
      <c r="N1545" t="inlineStr"/>
      <c r="O1545" t="inlineStr"/>
      <c r="P1545" t="inlineStr"/>
      <c r="Q1545" t="inlineStr"/>
    </row>
    <row r="1546">
      <c r="A1546" t="inlineStr">
        <is>
          <t>sagar.a</t>
        </is>
      </c>
      <c r="B1546" t="inlineStr">
        <is>
          <t>Sagar Aswar</t>
        </is>
      </c>
      <c r="C1546" t="inlineStr">
        <is>
          <t>sagar.a@osmosys.co</t>
        </is>
      </c>
      <c r="D1546" t="inlineStr">
        <is>
          <t>incident-reporter</t>
        </is>
      </c>
      <c r="E1546">
        <f>HYPERLINK("http://gitlab.osmosys.co/incident-reporter/incident-reporter-api", "OQSHA-API")</f>
        <v/>
      </c>
      <c r="F1546">
        <f>HYPERLINK("http://gitlab.osmosys.co/incident-reporter/incident-reporter-api/-/merge_requests/4347", "feat: associate shift with permit to work")</f>
        <v/>
      </c>
      <c r="G1546" t="inlineStr">
        <is>
          <t>feat/ptw-shifts</t>
        </is>
      </c>
      <c r="H1546" t="inlineStr">
        <is>
          <t>sprint-18</t>
        </is>
      </c>
      <c r="I1546" t="inlineStr">
        <is>
          <t>merged</t>
        </is>
      </c>
      <c r="J1546" t="inlineStr"/>
      <c r="K1546" t="inlineStr"/>
      <c r="L1546" t="inlineStr"/>
      <c r="M1546" t="inlineStr"/>
      <c r="N1546" t="inlineStr"/>
      <c r="O1546" t="inlineStr"/>
      <c r="P1546" t="inlineStr"/>
      <c r="Q1546" t="inlineStr"/>
    </row>
    <row r="1547">
      <c r="A1547" t="inlineStr">
        <is>
          <t>sagar.a</t>
        </is>
      </c>
      <c r="B1547" t="inlineStr">
        <is>
          <t>Sagar Aswar</t>
        </is>
      </c>
      <c r="C1547" t="inlineStr">
        <is>
          <t>sagar.a@osmosys.co</t>
        </is>
      </c>
      <c r="D1547" t="inlineStr">
        <is>
          <t>incident-reporter</t>
        </is>
      </c>
      <c r="E1547">
        <f>HYPERLINK("http://gitlab.osmosys.co/incident-reporter/incident-reporter-api", "OQSHA-API")</f>
        <v/>
      </c>
      <c r="F1547">
        <f>HYPERLINK("http://gitlab.osmosys.co/incident-reporter/incident-reporter-api/-/merge_requests/4318", "fix: delete only level one approvers in update moc api")</f>
        <v/>
      </c>
      <c r="G1547" t="inlineStr">
        <is>
          <t>fix/delete-l1-approvers</t>
        </is>
      </c>
      <c r="H1547" t="inlineStr">
        <is>
          <t>sprint-17</t>
        </is>
      </c>
      <c r="I1547" t="inlineStr">
        <is>
          <t>merged</t>
        </is>
      </c>
      <c r="J1547" t="inlineStr"/>
      <c r="K1547" t="inlineStr"/>
      <c r="L1547" t="inlineStr"/>
      <c r="M1547" t="inlineStr"/>
      <c r="N1547" t="inlineStr"/>
      <c r="O1547" t="inlineStr"/>
      <c r="P1547" t="inlineStr"/>
      <c r="Q1547" t="inlineStr"/>
    </row>
    <row r="1548">
      <c r="A1548" t="inlineStr">
        <is>
          <t>sagar.a</t>
        </is>
      </c>
      <c r="B1548" t="inlineStr">
        <is>
          <t>Sagar Aswar</t>
        </is>
      </c>
      <c r="C1548" t="inlineStr">
        <is>
          <t>sagar.a@osmosys.co</t>
        </is>
      </c>
      <c r="D1548" t="inlineStr">
        <is>
          <t>incident-reporter</t>
        </is>
      </c>
      <c r="E1548">
        <f>HYPERLINK("http://gitlab.osmosys.co/incident-reporter/incident-reporter-api", "OQSHA-API")</f>
        <v/>
      </c>
      <c r="F1548">
        <f>HYPERLINK("http://gitlab.osmosys.co/incident-reporter/incident-reporter-api/-/merge_requests/4315", "fix: add  null check validation and is approved flag")</f>
        <v/>
      </c>
      <c r="G1548" t="inlineStr">
        <is>
          <t>fix/update-moc-isapproved</t>
        </is>
      </c>
      <c r="H1548" t="inlineStr">
        <is>
          <t>sprint-17</t>
        </is>
      </c>
      <c r="I1548" t="inlineStr">
        <is>
          <t>merged</t>
        </is>
      </c>
      <c r="J1548" t="inlineStr"/>
      <c r="K1548" t="inlineStr"/>
      <c r="L1548" t="inlineStr"/>
      <c r="M1548" t="inlineStr"/>
      <c r="N1548" t="inlineStr"/>
      <c r="O1548" t="inlineStr"/>
      <c r="P1548" t="inlineStr"/>
      <c r="Q1548" t="inlineStr"/>
    </row>
    <row r="1549">
      <c r="A1549" t="inlineStr">
        <is>
          <t>sagar.a</t>
        </is>
      </c>
      <c r="B1549" t="inlineStr">
        <is>
          <t>Sagar Aswar</t>
        </is>
      </c>
      <c r="C1549" t="inlineStr">
        <is>
          <t>sagar.a@osmosys.co</t>
        </is>
      </c>
      <c r="D1549" t="inlineStr">
        <is>
          <t>incident-reporter</t>
        </is>
      </c>
      <c r="E1549">
        <f>HYPERLINK("http://gitlab.osmosys.co/incident-reporter/incident-reporter-api", "OQSHA-API")</f>
        <v/>
      </c>
      <c r="F1549">
        <f>HYPERLINK("http://gitlab.osmosys.co/incident-reporter/incident-reporter-api/-/merge_requests/4314", "fix: add is approved flag and a null check validation")</f>
        <v/>
      </c>
      <c r="G1549" t="inlineStr">
        <is>
          <t>fix/moc-signature-notifications</t>
        </is>
      </c>
      <c r="H1549" t="inlineStr">
        <is>
          <t>sprint-17</t>
        </is>
      </c>
      <c r="I1549" t="inlineStr">
        <is>
          <t>opened</t>
        </is>
      </c>
      <c r="J1549" t="inlineStr"/>
      <c r="K1549" t="inlineStr"/>
      <c r="L1549" t="inlineStr"/>
      <c r="M1549" t="inlineStr"/>
      <c r="N1549" t="inlineStr"/>
      <c r="O1549" t="inlineStr"/>
      <c r="P1549" t="inlineStr"/>
      <c r="Q1549" t="inlineStr"/>
    </row>
    <row r="1550">
      <c r="A1550" t="inlineStr">
        <is>
          <t>sagar.a</t>
        </is>
      </c>
      <c r="B1550" t="inlineStr">
        <is>
          <t>Sagar Aswar</t>
        </is>
      </c>
      <c r="C1550" t="inlineStr">
        <is>
          <t>sagar.a@osmosys.co</t>
        </is>
      </c>
      <c r="D1550" t="inlineStr">
        <is>
          <t>incident-reporter</t>
        </is>
      </c>
      <c r="E1550">
        <f>HYPERLINK("http://gitlab.osmosys.co/incident-reporter/incident-reporter-api", "OQSHA-API")</f>
        <v/>
      </c>
      <c r="F1550">
        <f>HYPERLINK("http://gitlab.osmosys.co/incident-reporter/incident-reporter-api/-/merge_requests/4313", "fix: notifications for moc signature")</f>
        <v/>
      </c>
      <c r="G1550" t="inlineStr">
        <is>
          <t>fix/moc-signature-notifications</t>
        </is>
      </c>
      <c r="H1550" t="inlineStr">
        <is>
          <t>sprint-17</t>
        </is>
      </c>
      <c r="I1550" t="inlineStr">
        <is>
          <t>merged</t>
        </is>
      </c>
      <c r="J1550" t="inlineStr"/>
      <c r="K1550" t="inlineStr"/>
      <c r="L1550" t="inlineStr"/>
      <c r="M1550" t="inlineStr"/>
      <c r="N1550" t="inlineStr"/>
      <c r="O1550" t="inlineStr"/>
      <c r="P1550" t="inlineStr"/>
      <c r="Q1550" t="inlineStr"/>
    </row>
    <row r="1551">
      <c r="A1551" t="inlineStr">
        <is>
          <t>sagar.a</t>
        </is>
      </c>
      <c r="B1551" t="inlineStr">
        <is>
          <t>Sagar Aswar</t>
        </is>
      </c>
      <c r="C1551" t="inlineStr">
        <is>
          <t>sagar.a@osmosys.co</t>
        </is>
      </c>
      <c r="D1551" t="inlineStr">
        <is>
          <t>incident-reporter</t>
        </is>
      </c>
      <c r="E1551">
        <f>HYPERLINK("http://gitlab.osmosys.co/incident-reporter/incident-reporter-api", "OQSHA-API")</f>
        <v/>
      </c>
      <c r="F1551">
        <f>HYPERLINK("http://gitlab.osmosys.co/incident-reporter/incident-reporter-api/-/merge_requests/4312", "fix: add missing condition to keep moc in partially approved")</f>
        <v/>
      </c>
      <c r="G1551" t="inlineStr">
        <is>
          <t>fix/moc-partially-approved</t>
        </is>
      </c>
      <c r="H1551" t="inlineStr">
        <is>
          <t>sprint-17</t>
        </is>
      </c>
      <c r="I1551" t="inlineStr">
        <is>
          <t>merged</t>
        </is>
      </c>
      <c r="J1551" t="inlineStr"/>
      <c r="K1551" t="inlineStr"/>
      <c r="L1551" t="inlineStr"/>
      <c r="M1551" t="inlineStr"/>
      <c r="N1551" t="inlineStr"/>
      <c r="O1551" t="inlineStr"/>
      <c r="P1551" t="inlineStr"/>
      <c r="Q1551" t="inlineStr"/>
    </row>
    <row r="1552">
      <c r="A1552" t="inlineStr">
        <is>
          <t>sagar.a</t>
        </is>
      </c>
      <c r="B1552" t="inlineStr">
        <is>
          <t>Sagar Aswar</t>
        </is>
      </c>
      <c r="C1552" t="inlineStr">
        <is>
          <t>sagar.a@osmosys.co</t>
        </is>
      </c>
      <c r="D1552" t="inlineStr">
        <is>
          <t>incident-reporter</t>
        </is>
      </c>
      <c r="E1552">
        <f>HYPERLINK("http://gitlab.osmosys.co/incident-reporter/incident-reporter-api", "OQSHA-API")</f>
        <v/>
      </c>
      <c r="F1552">
        <f>HYPERLINK("http://gitlab.osmosys.co/incident-reporter/incident-reporter-api/-/merge_requests/4310", "fix: update moc signatures for single user per acm role")</f>
        <v/>
      </c>
      <c r="G1552" t="inlineStr">
        <is>
          <t>fix/moc-signature-approvers</t>
        </is>
      </c>
      <c r="H1552" t="inlineStr">
        <is>
          <t>sprint-17</t>
        </is>
      </c>
      <c r="I1552" t="inlineStr">
        <is>
          <t>merged</t>
        </is>
      </c>
      <c r="J1552" t="inlineStr"/>
      <c r="K1552" t="inlineStr"/>
      <c r="L1552" t="inlineStr"/>
      <c r="M1552" t="inlineStr"/>
      <c r="N1552" t="inlineStr"/>
      <c r="O1552" t="inlineStr"/>
      <c r="P1552" t="inlineStr"/>
      <c r="Q1552" t="inlineStr"/>
    </row>
    <row r="1553">
      <c r="A1553" t="inlineStr">
        <is>
          <t>sagar.a</t>
        </is>
      </c>
      <c r="B1553" t="inlineStr">
        <is>
          <t>Sagar Aswar</t>
        </is>
      </c>
      <c r="C1553" t="inlineStr">
        <is>
          <t>sagar.a@osmosys.co</t>
        </is>
      </c>
      <c r="D1553" t="inlineStr">
        <is>
          <t>incident-reporter</t>
        </is>
      </c>
      <c r="E1553">
        <f>HYPERLINK("http://gitlab.osmosys.co/incident-reporter/incident-reporter-api", "OQSHA-API")</f>
        <v/>
      </c>
      <c r="F1553">
        <f>HYPERLINK("http://gitlab.osmosys.co/incident-reporter/incident-reporter-api/-/merge_requests/4306", "feat: add support to update moc signature in moc status api")</f>
        <v/>
      </c>
      <c r="G1553" t="inlineStr">
        <is>
          <t>feat/update-moc-signature</t>
        </is>
      </c>
      <c r="H1553" t="inlineStr">
        <is>
          <t>sprint-17</t>
        </is>
      </c>
      <c r="I1553" t="inlineStr">
        <is>
          <t>merged</t>
        </is>
      </c>
      <c r="J1553" t="inlineStr"/>
      <c r="K1553" t="inlineStr"/>
      <c r="L1553" t="inlineStr"/>
      <c r="M1553" t="inlineStr"/>
      <c r="N1553" t="inlineStr"/>
      <c r="O1553" t="inlineStr"/>
      <c r="P1553" t="inlineStr"/>
      <c r="Q1553" t="inlineStr"/>
    </row>
    <row r="1554">
      <c r="A1554" t="inlineStr">
        <is>
          <t>sagar.a</t>
        </is>
      </c>
      <c r="B1554" t="inlineStr">
        <is>
          <t>Sagar Aswar</t>
        </is>
      </c>
      <c r="C1554" t="inlineStr">
        <is>
          <t>sagar.a@osmosys.co</t>
        </is>
      </c>
      <c r="D1554" t="inlineStr">
        <is>
          <t>incident-reporter</t>
        </is>
      </c>
      <c r="E1554">
        <f>HYPERLINK("http://gitlab.osmosys.co/incident-reporter/incident-reporter-api", "OQSHA-API")</f>
        <v/>
      </c>
      <c r="F1554">
        <f>HYPERLINK("http://gitlab.osmosys.co/incident-reporter/incident-reporter-api/-/merge_requests/4297", "fix: resolve issues in moc comment/status change api")</f>
        <v/>
      </c>
      <c r="G1554" t="inlineStr">
        <is>
          <t>fix/moc-comment</t>
        </is>
      </c>
      <c r="H1554" t="inlineStr">
        <is>
          <t>sprint-17</t>
        </is>
      </c>
      <c r="I1554" t="inlineStr">
        <is>
          <t>merged</t>
        </is>
      </c>
      <c r="J1554" t="inlineStr"/>
      <c r="K1554" t="inlineStr"/>
      <c r="L1554" t="inlineStr"/>
      <c r="M1554" t="inlineStr"/>
      <c r="N1554" t="inlineStr"/>
      <c r="O1554" t="inlineStr"/>
      <c r="P1554" t="inlineStr"/>
      <c r="Q1554" t="inlineStr"/>
    </row>
    <row r="1555">
      <c r="A1555" t="inlineStr">
        <is>
          <t>sagar.a</t>
        </is>
      </c>
      <c r="B1555" t="inlineStr">
        <is>
          <t>Sagar Aswar</t>
        </is>
      </c>
      <c r="C1555" t="inlineStr">
        <is>
          <t>sagar.a@osmosys.co</t>
        </is>
      </c>
      <c r="D1555" t="inlineStr">
        <is>
          <t>incident-reporter</t>
        </is>
      </c>
      <c r="E1555">
        <f>HYPERLINK("http://gitlab.osmosys.co/incident-reporter/incident-reporter-api", "OQSHA-API")</f>
        <v/>
      </c>
      <c r="F1555">
        <f>HYPERLINK("http://gitlab.osmosys.co/incident-reporter/incident-reporter-api/-/merge_requests/4283", "feat: add notifications for moc")</f>
        <v/>
      </c>
      <c r="G1555" t="inlineStr">
        <is>
          <t>feat/moc-approver-notifications</t>
        </is>
      </c>
      <c r="H1555" t="inlineStr">
        <is>
          <t>sprint-17</t>
        </is>
      </c>
      <c r="I1555" t="inlineStr">
        <is>
          <t>merged</t>
        </is>
      </c>
      <c r="J1555" t="inlineStr"/>
      <c r="K1555" t="inlineStr"/>
      <c r="L1555" t="inlineStr"/>
      <c r="M1555" t="inlineStr"/>
      <c r="N1555" t="inlineStr"/>
      <c r="O1555" t="inlineStr"/>
      <c r="P1555" t="inlineStr"/>
      <c r="Q1555" t="inlineStr"/>
    </row>
    <row r="1556">
      <c r="A1556" t="inlineStr">
        <is>
          <t>sagar.a</t>
        </is>
      </c>
      <c r="B1556" t="inlineStr">
        <is>
          <t>Sagar Aswar</t>
        </is>
      </c>
      <c r="C1556" t="inlineStr">
        <is>
          <t>sagar.a@osmosys.co</t>
        </is>
      </c>
      <c r="D1556" t="inlineStr">
        <is>
          <t>incident-reporter</t>
        </is>
      </c>
      <c r="E1556">
        <f>HYPERLINK("http://gitlab.osmosys.co/incident-reporter/incident-reporter-api", "OQSHA-API")</f>
        <v/>
      </c>
      <c r="F1556">
        <f>HYPERLINK("http://gitlab.osmosys.co/incident-reporter/incident-reporter-api/-/merge_requests/4274", "feat: add signature configuration for moc")</f>
        <v/>
      </c>
      <c r="G1556" t="inlineStr">
        <is>
          <t>feat/moc-signatures</t>
        </is>
      </c>
      <c r="H1556" t="inlineStr">
        <is>
          <t>sprint-17</t>
        </is>
      </c>
      <c r="I1556" t="inlineStr">
        <is>
          <t>merged</t>
        </is>
      </c>
      <c r="J1556" t="inlineStr"/>
      <c r="K1556" t="inlineStr"/>
      <c r="L1556" t="inlineStr"/>
      <c r="M1556" t="inlineStr"/>
      <c r="N1556" t="inlineStr"/>
      <c r="O1556" t="inlineStr"/>
      <c r="P1556" t="inlineStr"/>
      <c r="Q1556" t="inlineStr"/>
    </row>
    <row r="1557">
      <c r="A1557" t="inlineStr">
        <is>
          <t>sagar.a</t>
        </is>
      </c>
      <c r="B1557" t="inlineStr">
        <is>
          <t>Sagar Aswar</t>
        </is>
      </c>
      <c r="C1557" t="inlineStr">
        <is>
          <t>sagar.a@osmosys.co</t>
        </is>
      </c>
      <c r="D1557" t="inlineStr">
        <is>
          <t>incident-reporter</t>
        </is>
      </c>
      <c r="E1557">
        <f>HYPERLINK("http://gitlab.osmosys.co/incident-reporter/incident-reporter-api", "OQSHA-API")</f>
        <v/>
      </c>
      <c r="F1557">
        <f>HYPERLINK("http://gitlab.osmosys.co/incident-reporter/incident-reporter-api/-/merge_requests/4262", "fix: add changes to moc notifications")</f>
        <v/>
      </c>
      <c r="G1557" t="inlineStr">
        <is>
          <t>fix/moc-notification</t>
        </is>
      </c>
      <c r="H1557" t="inlineStr">
        <is>
          <t>sprint-17</t>
        </is>
      </c>
      <c r="I1557" t="inlineStr">
        <is>
          <t>merged</t>
        </is>
      </c>
      <c r="J1557" t="inlineStr"/>
      <c r="K1557" t="inlineStr"/>
      <c r="L1557" t="inlineStr"/>
      <c r="M1557" t="inlineStr"/>
      <c r="N1557" t="inlineStr"/>
      <c r="O1557" t="inlineStr"/>
      <c r="P1557" t="inlineStr"/>
      <c r="Q1557" t="inlineStr"/>
    </row>
    <row r="1558">
      <c r="A1558" t="inlineStr">
        <is>
          <t>sagar.a</t>
        </is>
      </c>
      <c r="B1558" t="inlineStr">
        <is>
          <t>Sagar Aswar</t>
        </is>
      </c>
      <c r="C1558" t="inlineStr">
        <is>
          <t>sagar.a@osmosys.co</t>
        </is>
      </c>
      <c r="D1558" t="inlineStr">
        <is>
          <t>incident-reporter</t>
        </is>
      </c>
      <c r="E1558">
        <f>HYPERLINK("http://gitlab.osmosys.co/incident-reporter/incident-reporter-api", "OQSHA-API")</f>
        <v/>
      </c>
      <c r="F1558">
        <f>HYPERLINK("http://gitlab.osmosys.co/incident-reporter/incident-reporter-api/-/merge_requests/4256", "feat: add notifications for moc clarification")</f>
        <v/>
      </c>
      <c r="G1558" t="inlineStr">
        <is>
          <t>feat/moc-clarification</t>
        </is>
      </c>
      <c r="H1558" t="inlineStr">
        <is>
          <t>sprint-17</t>
        </is>
      </c>
      <c r="I1558" t="inlineStr">
        <is>
          <t>merged</t>
        </is>
      </c>
      <c r="J1558" t="inlineStr"/>
      <c r="K1558" t="inlineStr"/>
      <c r="L1558" t="inlineStr"/>
      <c r="M1558" t="inlineStr"/>
      <c r="N1558" t="inlineStr"/>
      <c r="O1558" t="inlineStr"/>
      <c r="P1558" t="inlineStr"/>
      <c r="Q1558" t="inlineStr"/>
    </row>
    <row r="1559">
      <c r="A1559" t="inlineStr">
        <is>
          <t>sagar.a</t>
        </is>
      </c>
      <c r="B1559" t="inlineStr">
        <is>
          <t>Sagar Aswar</t>
        </is>
      </c>
      <c r="C1559" t="inlineStr">
        <is>
          <t>sagar.a@osmosys.co</t>
        </is>
      </c>
      <c r="D1559" t="inlineStr">
        <is>
          <t>incident-reporter</t>
        </is>
      </c>
      <c r="E1559">
        <f>HYPERLINK("http://gitlab.osmosys.co/incident-reporter/incident-reporter-api", "OQSHA-API")</f>
        <v/>
      </c>
      <c r="F1559">
        <f>HYPERLINK("http://gitlab.osmosys.co/incident-reporter/incident-reporter-api/-/merge_requests/4252", "feat: add separate clarification table for moc")</f>
        <v/>
      </c>
      <c r="G1559" t="inlineStr">
        <is>
          <t>feat/moc-clarification</t>
        </is>
      </c>
      <c r="H1559" t="inlineStr">
        <is>
          <t>sprint-17</t>
        </is>
      </c>
      <c r="I1559" t="inlineStr">
        <is>
          <t>merged</t>
        </is>
      </c>
      <c r="J1559" t="inlineStr"/>
      <c r="K1559" t="inlineStr"/>
      <c r="L1559" t="inlineStr"/>
      <c r="M1559" t="inlineStr"/>
      <c r="N1559" t="inlineStr"/>
      <c r="O1559" t="inlineStr"/>
      <c r="P1559" t="inlineStr"/>
      <c r="Q1559" t="inlineStr"/>
    </row>
    <row r="1560">
      <c r="A1560" t="inlineStr">
        <is>
          <t>sagar.a</t>
        </is>
      </c>
      <c r="B1560" t="inlineStr">
        <is>
          <t>Sagar Aswar</t>
        </is>
      </c>
      <c r="C1560" t="inlineStr">
        <is>
          <t>sagar.a@osmosys.co</t>
        </is>
      </c>
      <c r="D1560" t="inlineStr">
        <is>
          <t>incident-reporter</t>
        </is>
      </c>
      <c r="E1560">
        <f>HYPERLINK("http://gitlab.osmosys.co/incident-reporter/incident-reporter-api", "OQSHA-API")</f>
        <v/>
      </c>
      <c r="F1560">
        <f>HYPERLINK("http://gitlab.osmosys.co/incident-reporter/incident-reporter-api/-/merge_requests/4218", "feat: add validation to prevent users from entering emojis in comment apis")</f>
        <v/>
      </c>
      <c r="G1560" t="inlineStr">
        <is>
          <t>fix/validate-comments</t>
        </is>
      </c>
      <c r="H1560" t="inlineStr">
        <is>
          <t>sprint-19</t>
        </is>
      </c>
      <c r="I1560" t="inlineStr">
        <is>
          <t>merged</t>
        </is>
      </c>
      <c r="J1560" t="inlineStr">
        <is>
          <t>9aad3bcc63a729e6cc9dd754ba5f927f99954b49</t>
        </is>
      </c>
      <c r="K1560">
        <f>HYPERLINK("http://gitlab.osmosys.co/incident-reporter/incident-reporter-api/-/merge_requests/4218#note_242136", "This can be implemented more elegantly. By using a custom validator on the DTO property.
I don't prefer the idea of adding if blocks in so many places.
Search prompt for ChatGPT/Gemini: "**Create a simple example of a custom validator and using it in an Input DTO. Use .NET 4.5.2**"
Check example here: https://g.co/gemini/share/4319d33e7462")</f>
        <v/>
      </c>
      <c r="L1560" t="inlineStr">
        <is>
          <t>2025-07-25 20:42:42.844 IST</t>
        </is>
      </c>
      <c r="M1560" t="inlineStr">
        <is>
          <t>Sameer Shaik</t>
        </is>
      </c>
      <c r="N1560" t="inlineStr">
        <is>
          <t>Yes</t>
        </is>
      </c>
      <c r="O1560" t="inlineStr">
        <is>
          <t>Yes</t>
        </is>
      </c>
      <c r="P1560" t="inlineStr">
        <is>
          <t>Sameer Shaik</t>
        </is>
      </c>
      <c r="Q1560" t="inlineStr">
        <is>
          <t>Bad</t>
        </is>
      </c>
    </row>
    <row r="1561">
      <c r="A1561" t="inlineStr">
        <is>
          <t>sagar.a</t>
        </is>
      </c>
      <c r="B1561" t="inlineStr">
        <is>
          <t>Sagar Aswar</t>
        </is>
      </c>
      <c r="C1561" t="inlineStr">
        <is>
          <t>sagar.a@osmosys.co</t>
        </is>
      </c>
      <c r="D1561" t="inlineStr">
        <is>
          <t>incident-reporter</t>
        </is>
      </c>
      <c r="E1561">
        <f>HYPERLINK("http://gitlab.osmosys.co/incident-reporter/incident-reporter-api", "OQSHA-API")</f>
        <v/>
      </c>
      <c r="F1561">
        <f>HYPERLINK("http://gitlab.osmosys.co/incident-reporter/incident-reporter-api/-/merge_requests/4218", "feat: add validation to prevent users from entering emojis in comment apis")</f>
        <v/>
      </c>
      <c r="G1561" t="inlineStr">
        <is>
          <t>fix/validate-comments</t>
        </is>
      </c>
      <c r="H1561" t="inlineStr">
        <is>
          <t>sprint-19</t>
        </is>
      </c>
      <c r="I1561" t="inlineStr">
        <is>
          <t>merged</t>
        </is>
      </c>
      <c r="J1561" t="inlineStr">
        <is>
          <t>9aad3bcc63a729e6cc9dd754ba5f927f99954b49</t>
        </is>
      </c>
      <c r="K1561">
        <f>HYPERLINK("http://gitlab.osmosys.co/incident-reporter/incident-reporter-api/-/merge_requests/4218#note_243940", "Implemented this Validation By using a custom validator on the DTO property as suggested.
But there are 2 Exceptions: Library Comment &amp; PTW Comment APIs
1. Library Comment API:
Here the API is accepting plain string, No DBO/DTO Class is Defined for this, so will have to use an if block to validate it here.
![image](/uploads/39014c7ea5df59d678c2709c14ffe34d/image.png)
2. PTW Comment API:
Here the API is simply Initializing the Comments String from form data. here also used if block
![image](/uploads/b70bf84c2e1917dc32df37ca6ebbbda2/image.png)
Rest all cases I have used the Attribute as Suggested.")</f>
        <v/>
      </c>
      <c r="L1561" t="inlineStr">
        <is>
          <t>2025-07-29 18:22:56.234 IST</t>
        </is>
      </c>
      <c r="M1561" t="inlineStr">
        <is>
          <t>Sagar Aswar</t>
        </is>
      </c>
      <c r="N1561" t="inlineStr">
        <is>
          <t>No</t>
        </is>
      </c>
      <c r="O1561" t="inlineStr">
        <is>
          <t>Yes</t>
        </is>
      </c>
      <c r="P1561" t="inlineStr">
        <is>
          <t>Sameer Shaik</t>
        </is>
      </c>
      <c r="Q1561" t="inlineStr">
        <is>
          <t>Bad</t>
        </is>
      </c>
    </row>
    <row r="1562">
      <c r="A1562" t="inlineStr">
        <is>
          <t>sagar.a</t>
        </is>
      </c>
      <c r="B1562" t="inlineStr">
        <is>
          <t>Sagar Aswar</t>
        </is>
      </c>
      <c r="C1562" t="inlineStr">
        <is>
          <t>sagar.a@osmosys.co</t>
        </is>
      </c>
      <c r="D1562" t="inlineStr">
        <is>
          <t>incident-reporter</t>
        </is>
      </c>
      <c r="E1562">
        <f>HYPERLINK("http://gitlab.osmosys.co/incident-reporter/incident-reporter-api", "OQSHA-API")</f>
        <v/>
      </c>
      <c r="F1562">
        <f>HYPERLINK("http://gitlab.osmosys.co/incident-reporter/incident-reporter-api/-/merge_requests/4186", "refactor: remove db calls inside for loops in user &amp; asset export apis")</f>
        <v/>
      </c>
      <c r="G1562" t="inlineStr">
        <is>
          <t>refactor/loop-db-calls</t>
        </is>
      </c>
      <c r="H1562" t="inlineStr">
        <is>
          <t>sprint-17</t>
        </is>
      </c>
      <c r="I1562" t="inlineStr">
        <is>
          <t>merged</t>
        </is>
      </c>
      <c r="J1562" t="inlineStr">
        <is>
          <t>1a8d3c183075fb59a8a1bb8ac50f4c416c7ce6d4</t>
        </is>
      </c>
      <c r="K1562">
        <f>HYPERLINK("http://gitlab.osmosys.co/incident-reporter/incident-reporter-api/-/merge_requests/4186#note_237565", "@sagar.a  - Attach users excel before &amp; after your code changes.")</f>
        <v/>
      </c>
      <c r="L1562" t="inlineStr">
        <is>
          <t>2025-07-16 15:08:20.359 IST</t>
        </is>
      </c>
      <c r="M1562" t="inlineStr">
        <is>
          <t>Sindhusha</t>
        </is>
      </c>
      <c r="N1562" t="inlineStr">
        <is>
          <t>Yes</t>
        </is>
      </c>
      <c r="O1562" t="inlineStr">
        <is>
          <t>No</t>
        </is>
      </c>
      <c r="P1562" t="inlineStr"/>
      <c r="Q1562" t="inlineStr">
        <is>
          <t>Neutral</t>
        </is>
      </c>
    </row>
    <row r="1563">
      <c r="A1563" t="inlineStr">
        <is>
          <t>sagar.a</t>
        </is>
      </c>
      <c r="B1563" t="inlineStr">
        <is>
          <t>Sagar Aswar</t>
        </is>
      </c>
      <c r="C1563" t="inlineStr">
        <is>
          <t>sagar.a@osmosys.co</t>
        </is>
      </c>
      <c r="D1563" t="inlineStr">
        <is>
          <t>incident-reporter</t>
        </is>
      </c>
      <c r="E1563">
        <f>HYPERLINK("http://gitlab.osmosys.co/incident-reporter/incident-reporter-api", "OQSHA-API")</f>
        <v/>
      </c>
      <c r="F1563">
        <f>HYPERLINK("http://gitlab.osmosys.co/incident-reporter/incident-reporter-api/-/merge_requests/4186", "refactor: remove db calls inside for loops in user &amp; asset export apis")</f>
        <v/>
      </c>
      <c r="G1563" t="inlineStr">
        <is>
          <t>refactor/loop-db-calls</t>
        </is>
      </c>
      <c r="H1563" t="inlineStr">
        <is>
          <t>sprint-17</t>
        </is>
      </c>
      <c r="I1563" t="inlineStr">
        <is>
          <t>merged</t>
        </is>
      </c>
      <c r="J1563" t="inlineStr">
        <is>
          <t>1a8d3c183075fb59a8a1bb8ac50f4c416c7ce6d4</t>
        </is>
      </c>
      <c r="K1563">
        <f>HYPERLINK("http://gitlab.osmosys.co/incident-reporter/incident-reporter-api/-/merge_requests/4186#note_237573", "Attached the Excel Sheets:
![image](/uploads/ee095ffc86fef57d811fd34692301140/image.png)")</f>
        <v/>
      </c>
      <c r="L1563" t="inlineStr">
        <is>
          <t>2025-07-16 15:12:30.967 IST</t>
        </is>
      </c>
      <c r="M1563" t="inlineStr">
        <is>
          <t>Sagar Aswar</t>
        </is>
      </c>
      <c r="N1563" t="inlineStr">
        <is>
          <t>No</t>
        </is>
      </c>
      <c r="O1563" t="inlineStr">
        <is>
          <t>No</t>
        </is>
      </c>
      <c r="P1563" t="inlineStr"/>
      <c r="Q1563" t="inlineStr">
        <is>
          <t>Neutral</t>
        </is>
      </c>
    </row>
    <row r="1564">
      <c r="A1564" t="inlineStr">
        <is>
          <t>sagar.a</t>
        </is>
      </c>
      <c r="B1564" t="inlineStr">
        <is>
          <t>Sagar Aswar</t>
        </is>
      </c>
      <c r="C1564" t="inlineStr">
        <is>
          <t>sagar.a@osmosys.co</t>
        </is>
      </c>
      <c r="D1564" t="inlineStr">
        <is>
          <t>incident-reporter</t>
        </is>
      </c>
      <c r="E1564">
        <f>HYPERLINK("http://gitlab.osmosys.co/incident-reporter/incident-reporter-api", "OQSHA-API")</f>
        <v/>
      </c>
      <c r="F1564">
        <f>HYPERLINK("http://gitlab.osmosys.co/incident-reporter/incident-reporter-api/-/merge_requests/4160", "fix: add search term filtering to export divisions api repo method")</f>
        <v/>
      </c>
      <c r="G1564" t="inlineStr">
        <is>
          <t>fix/division-search</t>
        </is>
      </c>
      <c r="H1564" t="inlineStr">
        <is>
          <t>sprint-17</t>
        </is>
      </c>
      <c r="I1564" t="inlineStr">
        <is>
          <t>merged</t>
        </is>
      </c>
      <c r="J1564" t="inlineStr"/>
      <c r="K1564" t="inlineStr"/>
      <c r="L1564" t="inlineStr"/>
      <c r="M1564" t="inlineStr"/>
      <c r="N1564" t="inlineStr"/>
      <c r="O1564" t="inlineStr"/>
      <c r="P1564" t="inlineStr"/>
      <c r="Q1564" t="inlineStr"/>
    </row>
    <row r="1565">
      <c r="A1565" t="inlineStr">
        <is>
          <t>sagar.a</t>
        </is>
      </c>
      <c r="B1565" t="inlineStr">
        <is>
          <t>Sagar Aswar</t>
        </is>
      </c>
      <c r="C1565" t="inlineStr">
        <is>
          <t>sagar.a@osmosys.co</t>
        </is>
      </c>
      <c r="D1565" t="inlineStr">
        <is>
          <t>incident-reporter</t>
        </is>
      </c>
      <c r="E1565">
        <f>HYPERLINK("http://gitlab.osmosys.co/incident-reporter/incident-reporter-api", "OQSHA-API")</f>
        <v/>
      </c>
      <c r="F1565">
        <f>HYPERLINK("http://gitlab.osmosys.co/incident-reporter/incident-reporter-api/-/merge_requests/4152", "fix: add logging &amp; exception to invalid string data")</f>
        <v/>
      </c>
      <c r="G1565" t="inlineStr">
        <is>
          <t>fix/unsupported-string-exception</t>
        </is>
      </c>
      <c r="H1565" t="inlineStr">
        <is>
          <t>sprint-17</t>
        </is>
      </c>
      <c r="I1565" t="inlineStr">
        <is>
          <t>merged</t>
        </is>
      </c>
      <c r="J1565" t="inlineStr"/>
      <c r="K1565" t="inlineStr"/>
      <c r="L1565" t="inlineStr"/>
      <c r="M1565" t="inlineStr"/>
      <c r="N1565" t="inlineStr"/>
      <c r="O1565" t="inlineStr"/>
      <c r="P1565" t="inlineStr"/>
      <c r="Q1565" t="inlineStr"/>
    </row>
    <row r="1566">
      <c r="A1566" t="inlineStr">
        <is>
          <t>sagar.a</t>
        </is>
      </c>
      <c r="B1566" t="inlineStr">
        <is>
          <t>Sagar Aswar</t>
        </is>
      </c>
      <c r="C1566" t="inlineStr">
        <is>
          <t>sagar.a@osmosys.co</t>
        </is>
      </c>
      <c r="D1566" t="inlineStr">
        <is>
          <t>incident-reporter</t>
        </is>
      </c>
      <c r="E1566">
        <f>HYPERLINK("http://gitlab.osmosys.co/incident-reporter/incident-reporter-api", "OQSHA-API")</f>
        <v/>
      </c>
      <c r="F1566">
        <f>HYPERLINK("http://gitlab.osmosys.co/incident-reporter/incident-reporter-api/-/merge_requests/4139", "fix: convert task due date to organisation timezone")</f>
        <v/>
      </c>
      <c r="G1566" t="inlineStr">
        <is>
          <t>fix/task-duedate</t>
        </is>
      </c>
      <c r="H1566" t="inlineStr">
        <is>
          <t>sprint-17</t>
        </is>
      </c>
      <c r="I1566" t="inlineStr">
        <is>
          <t>merged</t>
        </is>
      </c>
      <c r="J1566" t="inlineStr"/>
      <c r="K1566" t="inlineStr"/>
      <c r="L1566" t="inlineStr"/>
      <c r="M1566" t="inlineStr"/>
      <c r="N1566" t="inlineStr"/>
      <c r="O1566" t="inlineStr"/>
      <c r="P1566" t="inlineStr"/>
      <c r="Q1566" t="inlineStr"/>
    </row>
    <row r="1567">
      <c r="A1567" t="inlineStr">
        <is>
          <t>sagar.a</t>
        </is>
      </c>
      <c r="B1567" t="inlineStr">
        <is>
          <t>Sagar Aswar</t>
        </is>
      </c>
      <c r="C1567" t="inlineStr">
        <is>
          <t>sagar.a@osmosys.co</t>
        </is>
      </c>
      <c r="D1567" t="inlineStr">
        <is>
          <t>incident-reporter</t>
        </is>
      </c>
      <c r="E1567">
        <f>HYPERLINK("http://gitlab.osmosys.co/incident-reporter/incident-reporter-api", "OQSHA-API")</f>
        <v/>
      </c>
      <c r="F1567">
        <f>HYPERLINK("http://gitlab.osmosys.co/incident-reporter/incident-reporter-api/-/merge_requests/4138", "fix: remove ids from audit log in update pssr api")</f>
        <v/>
      </c>
      <c r="G1567" t="inlineStr">
        <is>
          <t>fix/pssr-auditlog</t>
        </is>
      </c>
      <c r="H1567" t="inlineStr">
        <is>
          <t>sprint-17</t>
        </is>
      </c>
      <c r="I1567" t="inlineStr">
        <is>
          <t>merged</t>
        </is>
      </c>
      <c r="J1567" t="inlineStr"/>
      <c r="K1567" t="inlineStr"/>
      <c r="L1567" t="inlineStr"/>
      <c r="M1567" t="inlineStr"/>
      <c r="N1567" t="inlineStr"/>
      <c r="O1567" t="inlineStr"/>
      <c r="P1567" t="inlineStr"/>
      <c r="Q1567" t="inlineStr"/>
    </row>
    <row r="1568">
      <c r="A1568" t="inlineStr">
        <is>
          <t>sagar.a</t>
        </is>
      </c>
      <c r="B1568" t="inlineStr">
        <is>
          <t>Sagar Aswar</t>
        </is>
      </c>
      <c r="C1568" t="inlineStr">
        <is>
          <t>sagar.a@osmosys.co</t>
        </is>
      </c>
      <c r="D1568" t="inlineStr">
        <is>
          <t>incident-reporter</t>
        </is>
      </c>
      <c r="E1568">
        <f>HYPERLINK("http://gitlab.osmosys.co/incident-reporter/incident-reporter-api", "OQSHA-API")</f>
        <v/>
      </c>
      <c r="F1568">
        <f>HYPERLINK("http://gitlab.osmosys.co/incident-reporter/incident-reporter-api/-/merge_requests/4117", "fix: update asset qr code pdf")</f>
        <v/>
      </c>
      <c r="G1568" t="inlineStr">
        <is>
          <t>fix/asset-qr-pdf</t>
        </is>
      </c>
      <c r="H1568" t="inlineStr">
        <is>
          <t>sprint-17</t>
        </is>
      </c>
      <c r="I1568" t="inlineStr">
        <is>
          <t>merged</t>
        </is>
      </c>
      <c r="J1568" t="inlineStr"/>
      <c r="K1568" t="inlineStr"/>
      <c r="L1568" t="inlineStr"/>
      <c r="M1568" t="inlineStr"/>
      <c r="N1568" t="inlineStr"/>
      <c r="O1568" t="inlineStr"/>
      <c r="P1568" t="inlineStr"/>
      <c r="Q1568" t="inlineStr"/>
    </row>
    <row r="1569">
      <c r="A1569" t="inlineStr">
        <is>
          <t>sagar.a</t>
        </is>
      </c>
      <c r="B1569" t="inlineStr">
        <is>
          <t>Sagar Aswar</t>
        </is>
      </c>
      <c r="C1569" t="inlineStr">
        <is>
          <t>sagar.a@osmosys.co</t>
        </is>
      </c>
      <c r="D1569" t="inlineStr">
        <is>
          <t>incident-reporter</t>
        </is>
      </c>
      <c r="E1569">
        <f>HYPERLINK("http://gitlab.osmosys.co/incident-reporter/incident-reporter-api", "OQSHA-API")</f>
        <v/>
      </c>
      <c r="F1569">
        <f>HYPERLINK("http://gitlab.osmosys.co/incident-reporter/incident-reporter-api/-/merge_requests/4109", "chore: update columns in medical_history table")</f>
        <v/>
      </c>
      <c r="G1569" t="inlineStr">
        <is>
          <t>chore/update-medical-history</t>
        </is>
      </c>
      <c r="H1569" t="inlineStr">
        <is>
          <t>sprint-17</t>
        </is>
      </c>
      <c r="I1569" t="inlineStr">
        <is>
          <t>opened</t>
        </is>
      </c>
      <c r="J1569" t="inlineStr"/>
      <c r="K1569" t="inlineStr"/>
      <c r="L1569" t="inlineStr"/>
      <c r="M1569" t="inlineStr"/>
      <c r="N1569" t="inlineStr"/>
      <c r="O1569" t="inlineStr"/>
      <c r="P1569" t="inlineStr"/>
      <c r="Q1569" t="inlineStr"/>
    </row>
    <row r="1570">
      <c r="A1570" t="inlineStr">
        <is>
          <t>sagar.a</t>
        </is>
      </c>
      <c r="B1570" t="inlineStr">
        <is>
          <t>Sagar Aswar</t>
        </is>
      </c>
      <c r="C1570" t="inlineStr">
        <is>
          <t>sagar.a@osmosys.co</t>
        </is>
      </c>
      <c r="D1570" t="inlineStr">
        <is>
          <t>incident-reporter</t>
        </is>
      </c>
      <c r="E1570">
        <f>HYPERLINK("http://gitlab.osmosys.co/incident-reporter/incident-reporter-api", "OQSHA-API")</f>
        <v/>
      </c>
      <c r="F1570">
        <f>HYPERLINK("http://gitlab.osmosys.co/incident-reporter/incident-reporter-api/-/merge_requests/4093", "feat: add api to create comment for an esg purchase")</f>
        <v/>
      </c>
      <c r="G1570" t="inlineStr">
        <is>
          <t>feat/esg-add-comment</t>
        </is>
      </c>
      <c r="H1570" t="inlineStr">
        <is>
          <t>sprint-17</t>
        </is>
      </c>
      <c r="I1570" t="inlineStr">
        <is>
          <t>opened</t>
        </is>
      </c>
      <c r="J1570" t="inlineStr"/>
      <c r="K1570" t="inlineStr"/>
      <c r="L1570" t="inlineStr"/>
      <c r="M1570" t="inlineStr"/>
      <c r="N1570" t="inlineStr"/>
      <c r="O1570" t="inlineStr"/>
      <c r="P1570" t="inlineStr"/>
      <c r="Q1570" t="inlineStr"/>
    </row>
    <row r="1571">
      <c r="A1571" t="inlineStr">
        <is>
          <t>sagar.a</t>
        </is>
      </c>
      <c r="B1571" t="inlineStr">
        <is>
          <t>Sagar Aswar</t>
        </is>
      </c>
      <c r="C1571" t="inlineStr">
        <is>
          <t>sagar.a@osmosys.co</t>
        </is>
      </c>
      <c r="D1571" t="inlineStr">
        <is>
          <t>incident-reporter</t>
        </is>
      </c>
      <c r="E1571">
        <f>HYPERLINK("http://gitlab.osmosys.co/incident-reporter/incident-reporter-api", "OQSHA-API")</f>
        <v/>
      </c>
      <c r="F1571">
        <f>HYPERLINK("http://gitlab.osmosys.co/incident-reporter/incident-reporter-api/-/merge_requests/4090", "fix: add null check to next revision date before type conversion")</f>
        <v/>
      </c>
      <c r="G1571" t="inlineStr">
        <is>
          <t>fix/add-nextrevisondate-nullcheck</t>
        </is>
      </c>
      <c r="H1571" t="inlineStr">
        <is>
          <t>sprint-17</t>
        </is>
      </c>
      <c r="I1571" t="inlineStr">
        <is>
          <t>merged</t>
        </is>
      </c>
      <c r="J1571" t="inlineStr"/>
      <c r="K1571" t="inlineStr"/>
      <c r="L1571" t="inlineStr"/>
      <c r="M1571" t="inlineStr"/>
      <c r="N1571" t="inlineStr"/>
      <c r="O1571" t="inlineStr"/>
      <c r="P1571" t="inlineStr"/>
      <c r="Q1571" t="inlineStr"/>
    </row>
    <row r="1572">
      <c r="A1572" t="inlineStr">
        <is>
          <t>sagar.a</t>
        </is>
      </c>
      <c r="B1572" t="inlineStr">
        <is>
          <t>Sagar Aswar</t>
        </is>
      </c>
      <c r="C1572" t="inlineStr">
        <is>
          <t>sagar.a@osmosys.co</t>
        </is>
      </c>
      <c r="D1572" t="inlineStr">
        <is>
          <t>incident-reporter</t>
        </is>
      </c>
      <c r="E1572">
        <f>HYPERLINK("http://gitlab.osmosys.co/incident-reporter/incident-reporter-api", "OQSHA-API")</f>
        <v/>
      </c>
      <c r="F1572">
        <f>HYPERLINK("http://gitlab.osmosys.co/incident-reporter/incident-reporter-api/-/merge_requests/4089", "feat: add api to upload attachments for esg purchases")</f>
        <v/>
      </c>
      <c r="G1572" t="inlineStr">
        <is>
          <t>feat/esg-upload-media</t>
        </is>
      </c>
      <c r="H1572" t="inlineStr">
        <is>
          <t>sprint-17</t>
        </is>
      </c>
      <c r="I1572" t="inlineStr">
        <is>
          <t>opened</t>
        </is>
      </c>
      <c r="J1572" t="inlineStr"/>
      <c r="K1572" t="inlineStr"/>
      <c r="L1572" t="inlineStr"/>
      <c r="M1572" t="inlineStr"/>
      <c r="N1572" t="inlineStr"/>
      <c r="O1572" t="inlineStr"/>
      <c r="P1572" t="inlineStr"/>
      <c r="Q1572" t="inlineStr"/>
    </row>
    <row r="1573">
      <c r="A1573" t="inlineStr">
        <is>
          <t>sagar.a</t>
        </is>
      </c>
      <c r="B1573" t="inlineStr">
        <is>
          <t>Sagar Aswar</t>
        </is>
      </c>
      <c r="C1573" t="inlineStr">
        <is>
          <t>sagar.a@osmosys.co</t>
        </is>
      </c>
      <c r="D1573" t="inlineStr">
        <is>
          <t>incident-reporter</t>
        </is>
      </c>
      <c r="E1573">
        <f>HYPERLINK("http://gitlab.osmosys.co/incident-reporter/incident-reporter-api", "OQSHA-API")</f>
        <v/>
      </c>
      <c r="F1573">
        <f>HYPERLINK("http://gitlab.osmosys.co/incident-reporter/incident-reporter-api/-/merge_requests/4077", "feat: associate shift with permit to work")</f>
        <v/>
      </c>
      <c r="G1573" t="inlineStr">
        <is>
          <t>feat/ptw-jobtype-shifts</t>
        </is>
      </c>
      <c r="H1573" t="inlineStr">
        <is>
          <t>sprint-17</t>
        </is>
      </c>
      <c r="I1573" t="inlineStr">
        <is>
          <t>closed</t>
        </is>
      </c>
      <c r="J1573" t="inlineStr">
        <is>
          <t>312fbbc05f12b5c66fed870105fbd4a6a69a9935</t>
        </is>
      </c>
      <c r="K1573">
        <f>HYPERLINK("http://gitlab.osmosys.co/incident-reporter/incident-reporter-api/-/merge_requests/4077#note_241997", "Closing this PR as changes are moved to this PR: https://gitlab.osmosys.co/incident-reporter/incident-reporter-api/-/merge_requests/4347")</f>
        <v/>
      </c>
      <c r="L1573" t="inlineStr">
        <is>
          <t>2025-07-25 18:38:25.538 IST</t>
        </is>
      </c>
      <c r="M1573" t="inlineStr">
        <is>
          <t>Sagar Aswar</t>
        </is>
      </c>
      <c r="N1573" t="inlineStr">
        <is>
          <t>No</t>
        </is>
      </c>
      <c r="O1573" t="inlineStr">
        <is>
          <t>No</t>
        </is>
      </c>
      <c r="P1573" t="inlineStr"/>
      <c r="Q1573" t="inlineStr">
        <is>
          <t>Neutral</t>
        </is>
      </c>
    </row>
    <row r="1574">
      <c r="A1574" t="inlineStr">
        <is>
          <t>sagar.a</t>
        </is>
      </c>
      <c r="B1574" t="inlineStr">
        <is>
          <t>Sagar Aswar</t>
        </is>
      </c>
      <c r="C1574" t="inlineStr">
        <is>
          <t>sagar.a@osmosys.co</t>
        </is>
      </c>
      <c r="D1574" t="inlineStr">
        <is>
          <t>incident-reporter</t>
        </is>
      </c>
      <c r="E1574">
        <f>HYPERLINK("http://gitlab.osmosys.co/incident-reporter/incident-reporter-api", "OQSHA-API")</f>
        <v/>
      </c>
      <c r="F1574">
        <f>HYPERLINK("http://gitlab.osmosys.co/incident-reporter/incident-reporter-api/-/merge_requests/4054", "fix: add migration to remove duplicate inspection uid formula")</f>
        <v/>
      </c>
      <c r="G1574" t="inlineStr">
        <is>
          <t>fix/remove-duplicate-formula</t>
        </is>
      </c>
      <c r="H1574" t="inlineStr">
        <is>
          <t>sprint-17</t>
        </is>
      </c>
      <c r="I1574" t="inlineStr">
        <is>
          <t>merged</t>
        </is>
      </c>
      <c r="J1574" t="inlineStr"/>
      <c r="K1574" t="inlineStr"/>
      <c r="L1574" t="inlineStr"/>
      <c r="M1574" t="inlineStr"/>
      <c r="N1574" t="inlineStr"/>
      <c r="O1574" t="inlineStr"/>
      <c r="P1574" t="inlineStr"/>
      <c r="Q1574" t="inlineStr"/>
    </row>
    <row r="1575">
      <c r="A1575" t="inlineStr">
        <is>
          <t>sagar.a</t>
        </is>
      </c>
      <c r="B1575" t="inlineStr">
        <is>
          <t>Sagar Aswar</t>
        </is>
      </c>
      <c r="C1575" t="inlineStr">
        <is>
          <t>sagar.a@osmosys.co</t>
        </is>
      </c>
      <c r="D1575" t="inlineStr">
        <is>
          <t>incident-reporter</t>
        </is>
      </c>
      <c r="E1575">
        <f>HYPERLINK("http://gitlab.osmosys.co/incident-reporter/incident-reporter-api", "OQSHA-API")</f>
        <v/>
      </c>
      <c r="F1575">
        <f>HYPERLINK("http://gitlab.osmosys.co/incident-reporter/incident-reporter-api/-/merge_requests/4039", "feat: add acm module privileges for esg purchase module")</f>
        <v/>
      </c>
      <c r="G1575" t="inlineStr">
        <is>
          <t>feat/esg-acm-module</t>
        </is>
      </c>
      <c r="H1575" t="inlineStr">
        <is>
          <t>sprint-17</t>
        </is>
      </c>
      <c r="I1575" t="inlineStr">
        <is>
          <t>opened</t>
        </is>
      </c>
      <c r="J1575" t="inlineStr"/>
      <c r="K1575" t="inlineStr"/>
      <c r="L1575" t="inlineStr"/>
      <c r="M1575" t="inlineStr"/>
      <c r="N1575" t="inlineStr"/>
      <c r="O1575" t="inlineStr"/>
      <c r="P1575" t="inlineStr"/>
      <c r="Q1575" t="inlineStr"/>
    </row>
    <row r="1576">
      <c r="A1576" t="inlineStr">
        <is>
          <t>sagar.a</t>
        </is>
      </c>
      <c r="B1576" t="inlineStr">
        <is>
          <t>Sagar Aswar</t>
        </is>
      </c>
      <c r="C1576" t="inlineStr">
        <is>
          <t>sagar.a@osmosys.co</t>
        </is>
      </c>
      <c r="D1576" t="inlineStr">
        <is>
          <t>incident-reporter</t>
        </is>
      </c>
      <c r="E1576">
        <f>HYPERLINK("http://gitlab.osmosys.co/incident-reporter/incident-reporter-api", "OQSHA-API")</f>
        <v/>
      </c>
      <c r="F1576">
        <f>HYPERLINK("http://gitlab.osmosys.co/incident-reporter/incident-reporter-api/-/merge_requests/4036", "feat: add api to fetch esg purchases list")</f>
        <v/>
      </c>
      <c r="G1576" t="inlineStr">
        <is>
          <t>feat/get-esg-list</t>
        </is>
      </c>
      <c r="H1576" t="inlineStr">
        <is>
          <t>sprint-17</t>
        </is>
      </c>
      <c r="I1576" t="inlineStr">
        <is>
          <t>opened</t>
        </is>
      </c>
      <c r="J1576" t="inlineStr"/>
      <c r="K1576" t="inlineStr"/>
      <c r="L1576" t="inlineStr"/>
      <c r="M1576" t="inlineStr"/>
      <c r="N1576" t="inlineStr"/>
      <c r="O1576" t="inlineStr"/>
      <c r="P1576" t="inlineStr"/>
      <c r="Q1576" t="inlineStr"/>
    </row>
    <row r="1577">
      <c r="A1577" t="inlineStr">
        <is>
          <t>sagar.a</t>
        </is>
      </c>
      <c r="B1577" t="inlineStr">
        <is>
          <t>Sagar Aswar</t>
        </is>
      </c>
      <c r="C1577" t="inlineStr">
        <is>
          <t>sagar.a@osmosys.co</t>
        </is>
      </c>
      <c r="D1577" t="inlineStr">
        <is>
          <t>incident-reporter</t>
        </is>
      </c>
      <c r="E1577">
        <f>HYPERLINK("http://gitlab.osmosys.co/incident-reporter/incident-reporter-api", "OQSHA-API")</f>
        <v/>
      </c>
      <c r="F1577">
        <f>HYPERLINK("http://gitlab.osmosys.co/incident-reporter/incident-reporter-api/-/merge_requests/4032", "feat: add api to fetch details of an esg purchase")</f>
        <v/>
      </c>
      <c r="G1577" t="inlineStr">
        <is>
          <t>feat/get-esg-details</t>
        </is>
      </c>
      <c r="H1577" t="inlineStr">
        <is>
          <t>sprint-17</t>
        </is>
      </c>
      <c r="I1577" t="inlineStr">
        <is>
          <t>opened</t>
        </is>
      </c>
      <c r="J1577" t="inlineStr"/>
      <c r="K1577" t="inlineStr"/>
      <c r="L1577" t="inlineStr"/>
      <c r="M1577" t="inlineStr"/>
      <c r="N1577" t="inlineStr"/>
      <c r="O1577" t="inlineStr"/>
      <c r="P1577" t="inlineStr"/>
      <c r="Q1577" t="inlineStr"/>
    </row>
    <row r="1578">
      <c r="A1578" t="inlineStr">
        <is>
          <t>sagar.a</t>
        </is>
      </c>
      <c r="B1578" t="inlineStr">
        <is>
          <t>Sagar Aswar</t>
        </is>
      </c>
      <c r="C1578" t="inlineStr">
        <is>
          <t>sagar.a@osmosys.co</t>
        </is>
      </c>
      <c r="D1578" t="inlineStr">
        <is>
          <t>incident-reporter</t>
        </is>
      </c>
      <c r="E1578">
        <f>HYPERLINK("http://gitlab.osmosys.co/incident-reporter/incident-reporter-api", "OQSHA-API")</f>
        <v/>
      </c>
      <c r="F1578">
        <f>HYPERLINK("http://gitlab.osmosys.co/incident-reporter/incident-reporter-api/-/merge_requests/4019", "feat: add api to update an esg purchase")</f>
        <v/>
      </c>
      <c r="G1578" t="inlineStr">
        <is>
          <t>feat/update-esg</t>
        </is>
      </c>
      <c r="H1578" t="inlineStr">
        <is>
          <t>sprint-17</t>
        </is>
      </c>
      <c r="I1578" t="inlineStr">
        <is>
          <t>opened</t>
        </is>
      </c>
      <c r="J1578" t="inlineStr"/>
      <c r="K1578" t="inlineStr"/>
      <c r="L1578" t="inlineStr"/>
      <c r="M1578" t="inlineStr"/>
      <c r="N1578" t="inlineStr"/>
      <c r="O1578" t="inlineStr"/>
      <c r="P1578" t="inlineStr"/>
      <c r="Q1578" t="inlineStr"/>
    </row>
    <row r="1579">
      <c r="A1579" t="inlineStr">
        <is>
          <t>sagar.a</t>
        </is>
      </c>
      <c r="B1579" t="inlineStr">
        <is>
          <t>Sagar Aswar</t>
        </is>
      </c>
      <c r="C1579" t="inlineStr">
        <is>
          <t>sagar.a@osmosys.co</t>
        </is>
      </c>
      <c r="D1579" t="inlineStr">
        <is>
          <t>incident-reporter</t>
        </is>
      </c>
      <c r="E1579">
        <f>HYPERLINK("http://gitlab.osmosys.co/incident-reporter/incident-reporter-api", "OQSHA-API")</f>
        <v/>
      </c>
      <c r="F1579">
        <f>HYPERLINK("http://gitlab.osmosys.co/incident-reporter/incident-reporter-api/-/merge_requests/4016", "feat: add api to create an esg purchase")</f>
        <v/>
      </c>
      <c r="G1579" t="inlineStr">
        <is>
          <t>feat/create-esg</t>
        </is>
      </c>
      <c r="H1579" t="inlineStr">
        <is>
          <t>sprint-17</t>
        </is>
      </c>
      <c r="I1579" t="inlineStr">
        <is>
          <t>opened</t>
        </is>
      </c>
      <c r="J1579" t="inlineStr"/>
      <c r="K1579" t="inlineStr"/>
      <c r="L1579" t="inlineStr"/>
      <c r="M1579" t="inlineStr"/>
      <c r="N1579" t="inlineStr"/>
      <c r="O1579" t="inlineStr"/>
      <c r="P1579" t="inlineStr"/>
      <c r="Q1579" t="inlineStr"/>
    </row>
    <row r="1580">
      <c r="A1580" t="inlineStr">
        <is>
          <t>sanskar.jain</t>
        </is>
      </c>
      <c r="B1580" t="inlineStr">
        <is>
          <t>Sanskar Jain</t>
        </is>
      </c>
      <c r="C1580" t="inlineStr">
        <is>
          <t>sanskar.j@osmosys.co</t>
        </is>
      </c>
      <c r="D1580" t="inlineStr">
        <is>
          <t>tp</t>
        </is>
      </c>
      <c r="E1580">
        <f>HYPERLINK("http://gitlab.osmosys.co/tp/tp360", "TP360")</f>
        <v/>
      </c>
      <c r="F1580">
        <f>HYPERLINK("http://gitlab.osmosys.co/tp/tp360/-/merge_requests/3110", "13803: Remove worksheet get api from search popup and make dummy response")</f>
        <v/>
      </c>
      <c r="G1580" t="inlineStr">
        <is>
          <t>dev/update-api</t>
        </is>
      </c>
      <c r="H1580" t="inlineStr">
        <is>
          <t>PreTest_Development</t>
        </is>
      </c>
      <c r="I1580" t="inlineStr">
        <is>
          <t>merged</t>
        </is>
      </c>
      <c r="J1580" t="inlineStr"/>
      <c r="K1580" t="inlineStr"/>
      <c r="L1580" t="inlineStr"/>
      <c r="M1580" t="inlineStr"/>
      <c r="N1580" t="inlineStr"/>
      <c r="O1580" t="inlineStr"/>
      <c r="P1580" t="inlineStr"/>
      <c r="Q1580" t="inlineStr"/>
    </row>
    <row r="1581">
      <c r="A1581" t="inlineStr">
        <is>
          <t>sanskar.jain</t>
        </is>
      </c>
      <c r="B1581" t="inlineStr">
        <is>
          <t>Sanskar Jain</t>
        </is>
      </c>
      <c r="C1581" t="inlineStr">
        <is>
          <t>sanskar.j@osmosys.co</t>
        </is>
      </c>
      <c r="D1581" t="inlineStr">
        <is>
          <t>tp</t>
        </is>
      </c>
      <c r="E1581">
        <f>HYPERLINK("http://gitlab.osmosys.co/tp/tp360", "TP360")</f>
        <v/>
      </c>
      <c r="F1581">
        <f>HYPERLINK("http://gitlab.osmosys.co/tp/tp360/-/merge_requests/3109", "13803: Fix api call for search popup in hotel payment processing worksheet")</f>
        <v/>
      </c>
      <c r="G1581" t="inlineStr">
        <is>
          <t>cherry-pick-22f0679d</t>
        </is>
      </c>
      <c r="H1581" t="inlineStr">
        <is>
          <t>Staging_Development</t>
        </is>
      </c>
      <c r="I1581" t="inlineStr">
        <is>
          <t>merged</t>
        </is>
      </c>
      <c r="J1581" t="inlineStr"/>
      <c r="K1581" t="inlineStr"/>
      <c r="L1581" t="inlineStr"/>
      <c r="M1581" t="inlineStr"/>
      <c r="N1581" t="inlineStr"/>
      <c r="O1581" t="inlineStr"/>
      <c r="P1581" t="inlineStr"/>
      <c r="Q1581" t="inlineStr"/>
    </row>
    <row r="1582">
      <c r="A1582" t="inlineStr">
        <is>
          <t>sanskar.jain</t>
        </is>
      </c>
      <c r="B1582" t="inlineStr">
        <is>
          <t>Sanskar Jain</t>
        </is>
      </c>
      <c r="C1582" t="inlineStr">
        <is>
          <t>sanskar.j@osmosys.co</t>
        </is>
      </c>
      <c r="D1582" t="inlineStr">
        <is>
          <t>tp</t>
        </is>
      </c>
      <c r="E1582">
        <f>HYPERLINK("http://gitlab.osmosys.co/tp/tp360", "TP360")</f>
        <v/>
      </c>
      <c r="F1582">
        <f>HYPERLINK("http://gitlab.osmosys.co/tp/tp360/-/merge_requests/3108", "13803: Fix api call for search popup in hotel payment processing worksheet")</f>
        <v/>
      </c>
      <c r="G1582" t="inlineStr">
        <is>
          <t>hot-fix/api-hotel-payment</t>
        </is>
      </c>
      <c r="H1582" t="inlineStr">
        <is>
          <t>PreTest_Development</t>
        </is>
      </c>
      <c r="I1582" t="inlineStr">
        <is>
          <t>merged</t>
        </is>
      </c>
      <c r="J1582" t="inlineStr"/>
      <c r="K1582" t="inlineStr"/>
      <c r="L1582" t="inlineStr"/>
      <c r="M1582" t="inlineStr"/>
      <c r="N1582" t="inlineStr"/>
      <c r="O1582" t="inlineStr"/>
      <c r="P1582" t="inlineStr"/>
      <c r="Q1582" t="inlineStr"/>
    </row>
    <row r="1583">
      <c r="A1583" t="inlineStr">
        <is>
          <t>sanskar.jain</t>
        </is>
      </c>
      <c r="B1583" t="inlineStr">
        <is>
          <t>Sanskar Jain</t>
        </is>
      </c>
      <c r="C1583" t="inlineStr">
        <is>
          <t>sanskar.j@osmosys.co</t>
        </is>
      </c>
      <c r="D1583" t="inlineStr">
        <is>
          <t>tp</t>
        </is>
      </c>
      <c r="E1583">
        <f>HYPERLINK("http://gitlab.osmosys.co/tp/tp360", "TP360")</f>
        <v/>
      </c>
      <c r="F1583">
        <f>HYPERLINK("http://gitlab.osmosys.co/tp/tp360/-/merge_requests/3104", "HotFix: Update the formatter in Search Popup")</f>
        <v/>
      </c>
      <c r="G1583" t="inlineStr">
        <is>
          <t>hot-fix/SearchPopup-formatter</t>
        </is>
      </c>
      <c r="H1583" t="inlineStr">
        <is>
          <t>PreTest_Development</t>
        </is>
      </c>
      <c r="I1583" t="inlineStr">
        <is>
          <t>merged</t>
        </is>
      </c>
      <c r="J1583" t="inlineStr"/>
      <c r="K1583" t="inlineStr"/>
      <c r="L1583" t="inlineStr"/>
      <c r="M1583" t="inlineStr"/>
      <c r="N1583" t="inlineStr"/>
      <c r="O1583" t="inlineStr"/>
      <c r="P1583" t="inlineStr"/>
      <c r="Q1583" t="inlineStr"/>
    </row>
    <row r="1584">
      <c r="A1584" t="inlineStr">
        <is>
          <t>sanskar.jain</t>
        </is>
      </c>
      <c r="B1584" t="inlineStr">
        <is>
          <t>Sanskar Jain</t>
        </is>
      </c>
      <c r="C1584" t="inlineStr">
        <is>
          <t>sanskar.j@osmosys.co</t>
        </is>
      </c>
      <c r="D1584" t="inlineStr">
        <is>
          <t>tp</t>
        </is>
      </c>
      <c r="E1584">
        <f>HYPERLINK("http://gitlab.osmosys.co/tp/tp360", "TP360")</f>
        <v/>
      </c>
      <c r="F1584">
        <f>HYPERLINK("http://gitlab.osmosys.co/tp/tp360/-/merge_requests/3101", "13803: Update negative value formatter in hotel payment processing worksheet")</f>
        <v/>
      </c>
      <c r="G1584" t="inlineStr">
        <is>
          <t>dev/formatter-hotel-pp</t>
        </is>
      </c>
      <c r="H1584" t="inlineStr">
        <is>
          <t>PreTest_Development</t>
        </is>
      </c>
      <c r="I1584" t="inlineStr">
        <is>
          <t>merged</t>
        </is>
      </c>
      <c r="J1584" t="inlineStr"/>
      <c r="K1584" t="inlineStr"/>
      <c r="L1584" t="inlineStr"/>
      <c r="M1584" t="inlineStr"/>
      <c r="N1584" t="inlineStr"/>
      <c r="O1584" t="inlineStr"/>
      <c r="P1584" t="inlineStr"/>
      <c r="Q1584" t="inlineStr"/>
    </row>
    <row r="1585">
      <c r="A1585" t="inlineStr">
        <is>
          <t>sanskar.jain</t>
        </is>
      </c>
      <c r="B1585" t="inlineStr">
        <is>
          <t>Sanskar Jain</t>
        </is>
      </c>
      <c r="C1585" t="inlineStr">
        <is>
          <t>sanskar.j@osmosys.co</t>
        </is>
      </c>
      <c r="D1585" t="inlineStr">
        <is>
          <t>tp</t>
        </is>
      </c>
      <c r="E1585">
        <f>HYPERLINK("http://gitlab.osmosys.co/tp/tp360", "TP360")</f>
        <v/>
      </c>
      <c r="F1585">
        <f>HYPERLINK("http://gitlab.osmosys.co/tp/tp360/-/merge_requests/3096", "18945 : Update column mapping in Hotel Payment Processing Worksheet")</f>
        <v/>
      </c>
      <c r="G1585" t="inlineStr">
        <is>
          <t>dev/Update-cols-hotel-pp</t>
        </is>
      </c>
      <c r="H1585" t="inlineStr">
        <is>
          <t>PreTest_Development</t>
        </is>
      </c>
      <c r="I1585" t="inlineStr">
        <is>
          <t>merged</t>
        </is>
      </c>
      <c r="J1585" t="inlineStr"/>
      <c r="K1585" t="inlineStr"/>
      <c r="L1585" t="inlineStr"/>
      <c r="M1585" t="inlineStr"/>
      <c r="N1585" t="inlineStr"/>
      <c r="O1585" t="inlineStr"/>
      <c r="P1585" t="inlineStr"/>
      <c r="Q1585" t="inlineStr"/>
    </row>
    <row r="1586">
      <c r="A1586" t="inlineStr">
        <is>
          <t>sanskar.jain</t>
        </is>
      </c>
      <c r="B1586" t="inlineStr">
        <is>
          <t>Sanskar Jain</t>
        </is>
      </c>
      <c r="C1586" t="inlineStr">
        <is>
          <t>sanskar.j@osmosys.co</t>
        </is>
      </c>
      <c r="D1586" t="inlineStr">
        <is>
          <t>tp</t>
        </is>
      </c>
      <c r="E1586">
        <f>HYPERLINK("http://gitlab.osmosys.co/tp/tp360", "TP360")</f>
        <v/>
      </c>
      <c r="F1586">
        <f>HYPERLINK("http://gitlab.osmosys.co/tp/tp360/-/merge_requests/3093", "13803: Update class for table header in search popup")</f>
        <v/>
      </c>
      <c r="G1586" t="inlineStr">
        <is>
          <t>dev/add-class</t>
        </is>
      </c>
      <c r="H1586" t="inlineStr">
        <is>
          <t>PreTest_Development</t>
        </is>
      </c>
      <c r="I1586" t="inlineStr">
        <is>
          <t>merged</t>
        </is>
      </c>
      <c r="J1586" t="inlineStr"/>
      <c r="K1586" t="inlineStr"/>
      <c r="L1586" t="inlineStr"/>
      <c r="M1586" t="inlineStr"/>
      <c r="N1586" t="inlineStr"/>
      <c r="O1586" t="inlineStr"/>
      <c r="P1586" t="inlineStr"/>
      <c r="Q1586" t="inlineStr"/>
    </row>
    <row r="1587">
      <c r="A1587" t="inlineStr">
        <is>
          <t>sanskar.jain</t>
        </is>
      </c>
      <c r="B1587" t="inlineStr">
        <is>
          <t>Sanskar Jain</t>
        </is>
      </c>
      <c r="C1587" t="inlineStr">
        <is>
          <t>sanskar.j@osmosys.co</t>
        </is>
      </c>
      <c r="D1587" t="inlineStr">
        <is>
          <t>tp</t>
        </is>
      </c>
      <c r="E1587">
        <f>HYPERLINK("http://gitlab.osmosys.co/tp/tp360", "TP360")</f>
        <v/>
      </c>
      <c r="F1587">
        <f>HYPERLINK("http://gitlab.osmosys.co/tp/tp360/-/merge_requests/3089", "13803: Display the selected row in search popup in hotel payment processing worksheet")</f>
        <v/>
      </c>
      <c r="G1587" t="inlineStr">
        <is>
          <t>dev/searchPopup-Hotel-PP</t>
        </is>
      </c>
      <c r="H1587" t="inlineStr">
        <is>
          <t>PreTest_Development</t>
        </is>
      </c>
      <c r="I1587" t="inlineStr">
        <is>
          <t>merged</t>
        </is>
      </c>
      <c r="J1587" t="inlineStr"/>
      <c r="K1587" t="inlineStr"/>
      <c r="L1587" t="inlineStr"/>
      <c r="M1587" t="inlineStr"/>
      <c r="N1587" t="inlineStr"/>
      <c r="O1587" t="inlineStr"/>
      <c r="P1587" t="inlineStr"/>
      <c r="Q1587" t="inlineStr"/>
    </row>
    <row r="1588">
      <c r="A1588" t="inlineStr">
        <is>
          <t>sanskar.jain</t>
        </is>
      </c>
      <c r="B1588" t="inlineStr">
        <is>
          <t>Sanskar Jain</t>
        </is>
      </c>
      <c r="C1588" t="inlineStr">
        <is>
          <t>sanskar.j@osmosys.co</t>
        </is>
      </c>
      <c r="D1588" t="inlineStr">
        <is>
          <t>tp</t>
        </is>
      </c>
      <c r="E1588">
        <f>HYPERLINK("http://gitlab.osmosys.co/tp/tp360", "TP360")</f>
        <v/>
      </c>
      <c r="F1588">
        <f>HYPERLINK("http://gitlab.osmosys.co/tp/tp360/-/merge_requests/3086", "Dev: Implement new changes for hotel-pp worksheet")</f>
        <v/>
      </c>
      <c r="G1588" t="inlineStr">
        <is>
          <t>dev/hotel-new-changes</t>
        </is>
      </c>
      <c r="H1588" t="inlineStr">
        <is>
          <t>Staging_Development</t>
        </is>
      </c>
      <c r="I1588" t="inlineStr">
        <is>
          <t>closed</t>
        </is>
      </c>
      <c r="J1588" t="inlineStr"/>
      <c r="K1588" t="inlineStr"/>
      <c r="L1588" t="inlineStr"/>
      <c r="M1588" t="inlineStr"/>
      <c r="N1588" t="inlineStr"/>
      <c r="O1588" t="inlineStr"/>
      <c r="P1588" t="inlineStr"/>
      <c r="Q1588" t="inlineStr"/>
    </row>
    <row r="1589">
      <c r="A1589" t="inlineStr">
        <is>
          <t>sanskar.jain</t>
        </is>
      </c>
      <c r="B1589" t="inlineStr">
        <is>
          <t>Sanskar Jain</t>
        </is>
      </c>
      <c r="C1589" t="inlineStr">
        <is>
          <t>sanskar.j@osmosys.co</t>
        </is>
      </c>
      <c r="D1589" t="inlineStr">
        <is>
          <t>tp</t>
        </is>
      </c>
      <c r="E1589">
        <f>HYPERLINK("http://gitlab.osmosys.co/tp/tp360", "TP360")</f>
        <v/>
      </c>
      <c r="F1589">
        <f>HYPERLINK("http://gitlab.osmosys.co/tp/tp360/-/merge_requests/3080", "Hot-Fix: Updated the button alignment for confirm reloshare popup")</f>
        <v/>
      </c>
      <c r="G1589" t="inlineStr">
        <is>
          <t>hot-fix/reloshare-popup</t>
        </is>
      </c>
      <c r="H1589" t="inlineStr">
        <is>
          <t>PreTest_Development</t>
        </is>
      </c>
      <c r="I1589" t="inlineStr">
        <is>
          <t>merged</t>
        </is>
      </c>
      <c r="J1589" t="inlineStr"/>
      <c r="K1589" t="inlineStr"/>
      <c r="L1589" t="inlineStr"/>
      <c r="M1589" t="inlineStr"/>
      <c r="N1589" t="inlineStr"/>
      <c r="O1589" t="inlineStr"/>
      <c r="P1589" t="inlineStr"/>
      <c r="Q1589" t="inlineStr"/>
    </row>
    <row r="1590">
      <c r="A1590" t="inlineStr">
        <is>
          <t>sanskar.jain</t>
        </is>
      </c>
      <c r="B1590" t="inlineStr">
        <is>
          <t>Sanskar Jain</t>
        </is>
      </c>
      <c r="C1590" t="inlineStr">
        <is>
          <t>sanskar.j@osmosys.co</t>
        </is>
      </c>
      <c r="D1590" t="inlineStr">
        <is>
          <t>tp</t>
        </is>
      </c>
      <c r="E1590">
        <f>HYPERLINK("http://gitlab.osmosys.co/tp/tp360", "TP360")</f>
        <v/>
      </c>
      <c r="F1590">
        <f>HYPERLINK("http://gitlab.osmosys.co/tp/tp360/-/merge_requests/3062", "Hot-Fix: Disable column sort and search for some columns in hotel commission worksheet")</f>
        <v/>
      </c>
      <c r="G1590" t="inlineStr">
        <is>
          <t>hot-fix/hotel-comm</t>
        </is>
      </c>
      <c r="H1590" t="inlineStr">
        <is>
          <t>PreTest_Development</t>
        </is>
      </c>
      <c r="I1590" t="inlineStr">
        <is>
          <t>merged</t>
        </is>
      </c>
      <c r="J1590" t="inlineStr"/>
      <c r="K1590" t="inlineStr"/>
      <c r="L1590" t="inlineStr"/>
      <c r="M1590" t="inlineStr"/>
      <c r="N1590" t="inlineStr"/>
      <c r="O1590" t="inlineStr"/>
      <c r="P1590" t="inlineStr"/>
      <c r="Q1590" t="inlineStr"/>
    </row>
    <row r="1591">
      <c r="A1591" t="inlineStr">
        <is>
          <t>sanskar.jain</t>
        </is>
      </c>
      <c r="B1591" t="inlineStr">
        <is>
          <t>Sanskar Jain</t>
        </is>
      </c>
      <c r="C1591" t="inlineStr">
        <is>
          <t>sanskar.j@osmosys.co</t>
        </is>
      </c>
      <c r="D1591" t="inlineStr">
        <is>
          <t>tp</t>
        </is>
      </c>
      <c r="E1591">
        <f>HYPERLINK("http://gitlab.osmosys.co/tp/tp360", "TP360")</f>
        <v/>
      </c>
      <c r="F1591">
        <f>HYPERLINK("http://gitlab.osmosys.co/tp/tp360/-/merge_requests/3054", "Dev: Update column class for BL pending and MO worksheet")</f>
        <v/>
      </c>
      <c r="G1591" t="inlineStr">
        <is>
          <t>dev/col-update</t>
        </is>
      </c>
      <c r="H1591" t="inlineStr">
        <is>
          <t>PreTest_Development</t>
        </is>
      </c>
      <c r="I1591" t="inlineStr">
        <is>
          <t>merged</t>
        </is>
      </c>
      <c r="J1591" t="inlineStr"/>
      <c r="K1591" t="inlineStr"/>
      <c r="L1591" t="inlineStr"/>
      <c r="M1591" t="inlineStr"/>
      <c r="N1591" t="inlineStr"/>
      <c r="O1591" t="inlineStr"/>
      <c r="P1591" t="inlineStr"/>
      <c r="Q1591" t="inlineStr"/>
    </row>
    <row r="1592">
      <c r="A1592" t="inlineStr">
        <is>
          <t>sanskar.jain</t>
        </is>
      </c>
      <c r="B1592" t="inlineStr">
        <is>
          <t>Sanskar Jain</t>
        </is>
      </c>
      <c r="C1592" t="inlineStr">
        <is>
          <t>sanskar.j@osmosys.co</t>
        </is>
      </c>
      <c r="D1592" t="inlineStr">
        <is>
          <t>tp</t>
        </is>
      </c>
      <c r="E1592">
        <f>HYPERLINK("http://gitlab.osmosys.co/tp/tp360", "TP360")</f>
        <v/>
      </c>
      <c r="F1592">
        <f>HYPERLINK("http://gitlab.osmosys.co/tp/tp360/-/merge_requests/3046", "Dev: Update column class for the worksheets")</f>
        <v/>
      </c>
      <c r="G1592" t="inlineStr">
        <is>
          <t>dev/update-col-class</t>
        </is>
      </c>
      <c r="H1592" t="inlineStr">
        <is>
          <t>PreTest_Development</t>
        </is>
      </c>
      <c r="I1592" t="inlineStr">
        <is>
          <t>merged</t>
        </is>
      </c>
      <c r="J1592" t="inlineStr"/>
      <c r="K1592" t="inlineStr"/>
      <c r="L1592" t="inlineStr"/>
      <c r="M1592" t="inlineStr"/>
      <c r="N1592" t="inlineStr"/>
      <c r="O1592" t="inlineStr"/>
      <c r="P1592" t="inlineStr"/>
      <c r="Q1592" t="inlineStr"/>
    </row>
    <row r="1593">
      <c r="A1593" t="inlineStr">
        <is>
          <t>sanskar.jain</t>
        </is>
      </c>
      <c r="B1593" t="inlineStr">
        <is>
          <t>Sanskar Jain</t>
        </is>
      </c>
      <c r="C1593" t="inlineStr">
        <is>
          <t>sanskar.j@osmosys.co</t>
        </is>
      </c>
      <c r="D1593" t="inlineStr">
        <is>
          <t>tp</t>
        </is>
      </c>
      <c r="E1593">
        <f>HYPERLINK("http://gitlab.osmosys.co/tp/tp360", "TP360")</f>
        <v/>
      </c>
      <c r="F1593">
        <f>HYPERLINK("http://gitlab.osmosys.co/tp/tp360/-/merge_requests/3021", "Issue: Fix MI-MO Request payload")</f>
        <v/>
      </c>
      <c r="G1593" t="inlineStr">
        <is>
          <t>issue/mi-mo-payload-pre</t>
        </is>
      </c>
      <c r="H1593" t="inlineStr">
        <is>
          <t>PreTest_Development</t>
        </is>
      </c>
      <c r="I1593" t="inlineStr">
        <is>
          <t>merged</t>
        </is>
      </c>
      <c r="J1593" t="inlineStr"/>
      <c r="K1593" t="inlineStr"/>
      <c r="L1593" t="inlineStr"/>
      <c r="M1593" t="inlineStr"/>
      <c r="N1593" t="inlineStr"/>
      <c r="O1593" t="inlineStr"/>
      <c r="P1593" t="inlineStr"/>
      <c r="Q1593" t="inlineStr"/>
    </row>
    <row r="1594">
      <c r="A1594" t="inlineStr">
        <is>
          <t>sanskar.jain</t>
        </is>
      </c>
      <c r="B1594" t="inlineStr">
        <is>
          <t>Sanskar Jain</t>
        </is>
      </c>
      <c r="C1594" t="inlineStr">
        <is>
          <t>sanskar.j@osmosys.co</t>
        </is>
      </c>
      <c r="D1594" t="inlineStr">
        <is>
          <t>tp</t>
        </is>
      </c>
      <c r="E1594">
        <f>HYPERLINK("http://gitlab.osmosys.co/tp/tp360", "TP360")</f>
        <v/>
      </c>
      <c r="F1594">
        <f>HYPERLINK("http://gitlab.osmosys.co/tp/tp360/-/merge_requests/3020", "Issue: Fix MI-MO request payload issue")</f>
        <v/>
      </c>
      <c r="G1594" t="inlineStr">
        <is>
          <t>issue/mi-mo-payload</t>
        </is>
      </c>
      <c r="H1594" t="inlineStr">
        <is>
          <t>Staging_Development</t>
        </is>
      </c>
      <c r="I1594" t="inlineStr">
        <is>
          <t>closed</t>
        </is>
      </c>
      <c r="J1594" t="inlineStr"/>
      <c r="K1594" t="inlineStr"/>
      <c r="L1594" t="inlineStr"/>
      <c r="M1594" t="inlineStr"/>
      <c r="N1594" t="inlineStr"/>
      <c r="O1594" t="inlineStr"/>
      <c r="P1594" t="inlineStr"/>
      <c r="Q1594" t="inlineStr"/>
    </row>
    <row r="1595">
      <c r="A1595" t="inlineStr">
        <is>
          <t>sanskar.jain</t>
        </is>
      </c>
      <c r="B1595" t="inlineStr">
        <is>
          <t>Sanskar Jain</t>
        </is>
      </c>
      <c r="C1595" t="inlineStr">
        <is>
          <t>sanskar.j@osmosys.co</t>
        </is>
      </c>
      <c r="D1595" t="inlineStr">
        <is>
          <t>tp</t>
        </is>
      </c>
      <c r="E1595">
        <f>HYPERLINK("http://gitlab.osmosys.co/tp/tp360", "TP360")</f>
        <v/>
      </c>
      <c r="F1595">
        <f>HYPERLINK("http://gitlab.osmosys.co/tp/tp360/-/merge_requests/3004", "Dev: Update Column header classes for audit and hotel audit worksheet")</f>
        <v/>
      </c>
      <c r="G1595" t="inlineStr">
        <is>
          <t>issue/update-pref</t>
        </is>
      </c>
      <c r="H1595" t="inlineStr">
        <is>
          <t>PreTest_Development</t>
        </is>
      </c>
      <c r="I1595" t="inlineStr">
        <is>
          <t>merged</t>
        </is>
      </c>
      <c r="J1595" t="inlineStr"/>
      <c r="K1595" t="inlineStr"/>
      <c r="L1595" t="inlineStr"/>
      <c r="M1595" t="inlineStr"/>
      <c r="N1595" t="inlineStr"/>
      <c r="O1595" t="inlineStr"/>
      <c r="P1595" t="inlineStr"/>
      <c r="Q1595" t="inlineStr"/>
    </row>
    <row r="1596">
      <c r="A1596" t="inlineStr">
        <is>
          <t>sanskar.jain</t>
        </is>
      </c>
      <c r="B1596" t="inlineStr">
        <is>
          <t>Sanskar Jain</t>
        </is>
      </c>
      <c r="C1596" t="inlineStr">
        <is>
          <t>sanskar.j@osmosys.co</t>
        </is>
      </c>
      <c r="D1596" t="inlineStr">
        <is>
          <t>tp</t>
        </is>
      </c>
      <c r="E1596">
        <f>HYPERLINK("http://gitlab.osmosys.co/tp/tp360", "TP360")</f>
        <v/>
      </c>
      <c r="F1596">
        <f>HYPERLINK("http://gitlab.osmosys.co/tp/tp360/-/merge_requests/3002", "Dev: Update the margin for header class for all worksheets")</f>
        <v/>
      </c>
      <c r="G1596" t="inlineStr">
        <is>
          <t>dev/row-header-height</t>
        </is>
      </c>
      <c r="H1596" t="inlineStr">
        <is>
          <t>PreTest_Development</t>
        </is>
      </c>
      <c r="I1596" t="inlineStr">
        <is>
          <t>merged</t>
        </is>
      </c>
      <c r="J1596" t="inlineStr"/>
      <c r="K1596" t="inlineStr"/>
      <c r="L1596" t="inlineStr"/>
      <c r="M1596" t="inlineStr"/>
      <c r="N1596" t="inlineStr"/>
      <c r="O1596" t="inlineStr"/>
      <c r="P1596" t="inlineStr"/>
      <c r="Q1596" t="inlineStr"/>
    </row>
    <row r="1597">
      <c r="A1597" t="inlineStr">
        <is>
          <t>sanskar.jain</t>
        </is>
      </c>
      <c r="B1597" t="inlineStr">
        <is>
          <t>Sanskar Jain</t>
        </is>
      </c>
      <c r="C1597" t="inlineStr">
        <is>
          <t>sanskar.j@osmosys.co</t>
        </is>
      </c>
      <c r="D1597" t="inlineStr">
        <is>
          <t>tp</t>
        </is>
      </c>
      <c r="E1597">
        <f>HYPERLINK("http://gitlab.osmosys.co/tp/tp360", "TP360")</f>
        <v/>
      </c>
      <c r="F1597">
        <f>HYPERLINK("http://gitlab.osmosys.co/tp/tp360/-/merge_requests/2996", "13465: Add new columns in Budget performance Worksheet")</f>
        <v/>
      </c>
      <c r="G1597" t="inlineStr">
        <is>
          <t>dev/new-col-budget</t>
        </is>
      </c>
      <c r="H1597" t="inlineStr">
        <is>
          <t>PreTest_Development</t>
        </is>
      </c>
      <c r="I1597" t="inlineStr">
        <is>
          <t>merged</t>
        </is>
      </c>
      <c r="J1597" t="inlineStr"/>
      <c r="K1597" t="inlineStr"/>
      <c r="L1597" t="inlineStr"/>
      <c r="M1597" t="inlineStr"/>
      <c r="N1597" t="inlineStr"/>
      <c r="O1597" t="inlineStr"/>
      <c r="P1597" t="inlineStr"/>
      <c r="Q1597" t="inlineStr"/>
    </row>
    <row r="1598">
      <c r="A1598" t="inlineStr">
        <is>
          <t>sanskar.jain</t>
        </is>
      </c>
      <c r="B1598" t="inlineStr">
        <is>
          <t>Sanskar Jain</t>
        </is>
      </c>
      <c r="C1598" t="inlineStr">
        <is>
          <t>sanskar.j@osmosys.co</t>
        </is>
      </c>
      <c r="D1598" t="inlineStr">
        <is>
          <t>tp</t>
        </is>
      </c>
      <c r="E1598">
        <f>HYPERLINK("http://gitlab.osmosys.co/tp/tp360", "TP360")</f>
        <v/>
      </c>
      <c r="F1598">
        <f>HYPERLINK("http://gitlab.osmosys.co/tp/tp360/-/merge_requests/2981", "Issue : Update Alignment for agent notes")</f>
        <v/>
      </c>
      <c r="G1598" t="inlineStr">
        <is>
          <t>issue/fix-agent-note-alignment</t>
        </is>
      </c>
      <c r="H1598" t="inlineStr">
        <is>
          <t>PreTest_Development</t>
        </is>
      </c>
      <c r="I1598" t="inlineStr">
        <is>
          <t>merged</t>
        </is>
      </c>
      <c r="J1598" t="inlineStr"/>
      <c r="K1598" t="inlineStr"/>
      <c r="L1598" t="inlineStr"/>
      <c r="M1598" t="inlineStr"/>
      <c r="N1598" t="inlineStr"/>
      <c r="O1598" t="inlineStr"/>
      <c r="P1598" t="inlineStr"/>
      <c r="Q1598" t="inlineStr"/>
    </row>
    <row r="1599">
      <c r="A1599" t="inlineStr">
        <is>
          <t>sanskar.jain</t>
        </is>
      </c>
      <c r="B1599" t="inlineStr">
        <is>
          <t>Sanskar Jain</t>
        </is>
      </c>
      <c r="C1599" t="inlineStr">
        <is>
          <t>sanskar.j@osmosys.co</t>
        </is>
      </c>
      <c r="D1599" t="inlineStr">
        <is>
          <t>tp</t>
        </is>
      </c>
      <c r="E1599">
        <f>HYPERLINK("http://gitlab.osmosys.co/tp/tp360", "TP360")</f>
        <v/>
      </c>
      <c r="F1599">
        <f>HYPERLINK("http://gitlab.osmosys.co/tp/tp360/-/merge_requests/2973", "Dev: Optimise Support and Request Worksheets.")</f>
        <v/>
      </c>
      <c r="G1599" t="inlineStr">
        <is>
          <t>dev/support-worksheet-optimization</t>
        </is>
      </c>
      <c r="H1599" t="inlineStr">
        <is>
          <t>PreTest_Development</t>
        </is>
      </c>
      <c r="I1599" t="inlineStr">
        <is>
          <t>merged</t>
        </is>
      </c>
      <c r="J1599" t="inlineStr"/>
      <c r="K1599" t="inlineStr"/>
      <c r="L1599" t="inlineStr"/>
      <c r="M1599" t="inlineStr"/>
      <c r="N1599" t="inlineStr"/>
      <c r="O1599" t="inlineStr"/>
      <c r="P1599" t="inlineStr"/>
      <c r="Q1599" t="inlineStr"/>
    </row>
    <row r="1600">
      <c r="A1600" t="inlineStr">
        <is>
          <t>sanskar.jain</t>
        </is>
      </c>
      <c r="B1600" t="inlineStr">
        <is>
          <t>Sanskar Jain</t>
        </is>
      </c>
      <c r="C1600" t="inlineStr">
        <is>
          <t>sanskar.j@osmosys.co</t>
        </is>
      </c>
      <c r="D1600" t="inlineStr">
        <is>
          <t>tp</t>
        </is>
      </c>
      <c r="E1600">
        <f>HYPERLINK("http://gitlab.osmosys.co/tp/tp360", "TP360")</f>
        <v/>
      </c>
      <c r="F1600">
        <f>HYPERLINK("http://gitlab.osmosys.co/tp/tp360/-/merge_requests/2968", "Issue: Restrict External Request from X-token")</f>
        <v/>
      </c>
      <c r="G1600" t="inlineStr">
        <is>
          <t>issue/self-booking</t>
        </is>
      </c>
      <c r="H1600" t="inlineStr">
        <is>
          <t>Staging_Development</t>
        </is>
      </c>
      <c r="I1600" t="inlineStr">
        <is>
          <t>merged</t>
        </is>
      </c>
      <c r="J1600" t="inlineStr"/>
      <c r="K1600" t="inlineStr"/>
      <c r="L1600" t="inlineStr"/>
      <c r="M1600" t="inlineStr"/>
      <c r="N1600" t="inlineStr"/>
      <c r="O1600" t="inlineStr"/>
      <c r="P1600" t="inlineStr"/>
      <c r="Q1600" t="inlineStr"/>
    </row>
    <row r="1601">
      <c r="A1601" t="inlineStr">
        <is>
          <t>sanskar.jain</t>
        </is>
      </c>
      <c r="B1601" t="inlineStr">
        <is>
          <t>Sanskar Jain</t>
        </is>
      </c>
      <c r="C1601" t="inlineStr">
        <is>
          <t>sanskar.j@osmosys.co</t>
        </is>
      </c>
      <c r="D1601" t="inlineStr">
        <is>
          <t>tp</t>
        </is>
      </c>
      <c r="E1601">
        <f>HYPERLINK("http://gitlab.osmosys.co/tp/tp360", "TP360")</f>
        <v/>
      </c>
      <c r="F1601">
        <f>HYPERLINK("http://gitlab.osmosys.co/tp/tp360/-/merge_requests/2956", "Issue: Fix preferences sorting issue in INS Hotel Pending worksheet")</f>
        <v/>
      </c>
      <c r="G1601" t="inlineStr">
        <is>
          <t>issue/prefernce</t>
        </is>
      </c>
      <c r="H1601" t="inlineStr">
        <is>
          <t>PreTest_Development</t>
        </is>
      </c>
      <c r="I1601" t="inlineStr">
        <is>
          <t>merged</t>
        </is>
      </c>
      <c r="J1601" t="inlineStr"/>
      <c r="K1601" t="inlineStr"/>
      <c r="L1601" t="inlineStr"/>
      <c r="M1601" t="inlineStr"/>
      <c r="N1601" t="inlineStr"/>
      <c r="O1601" t="inlineStr"/>
      <c r="P1601" t="inlineStr"/>
      <c r="Q1601" t="inlineStr"/>
    </row>
    <row r="1602">
      <c r="A1602" t="inlineStr">
        <is>
          <t>sanskar.jain</t>
        </is>
      </c>
      <c r="B1602" t="inlineStr">
        <is>
          <t>Sanskar Jain</t>
        </is>
      </c>
      <c r="C1602" t="inlineStr">
        <is>
          <t>sanskar.j@osmosys.co</t>
        </is>
      </c>
      <c r="D1602" t="inlineStr">
        <is>
          <t>tp</t>
        </is>
      </c>
      <c r="E1602">
        <f>HYPERLINK("http://gitlab.osmosys.co/tp/tp360", "TP360")</f>
        <v/>
      </c>
      <c r="F1602">
        <f>HYPERLINK("http://gitlab.osmosys.co/tp/tp360/-/merge_requests/2945", "Issue: Update the param for Est Total in Guest side")</f>
        <v/>
      </c>
      <c r="G1602" t="inlineStr">
        <is>
          <t>issue/mapping-est-totel</t>
        </is>
      </c>
      <c r="H1602" t="inlineStr">
        <is>
          <t>Staging_Development</t>
        </is>
      </c>
      <c r="I1602" t="inlineStr">
        <is>
          <t>merged</t>
        </is>
      </c>
      <c r="J1602" t="inlineStr"/>
      <c r="K1602" t="inlineStr"/>
      <c r="L1602" t="inlineStr"/>
      <c r="M1602" t="inlineStr"/>
      <c r="N1602" t="inlineStr"/>
      <c r="O1602" t="inlineStr"/>
      <c r="P1602" t="inlineStr"/>
      <c r="Q1602" t="inlineStr"/>
    </row>
    <row r="1603">
      <c r="A1603" t="inlineStr">
        <is>
          <t>sanskar.jain</t>
        </is>
      </c>
      <c r="B1603" t="inlineStr">
        <is>
          <t>Sanskar Jain</t>
        </is>
      </c>
      <c r="C1603" t="inlineStr">
        <is>
          <t>sanskar.j@osmosys.co</t>
        </is>
      </c>
      <c r="D1603" t="inlineStr">
        <is>
          <t>tp</t>
        </is>
      </c>
      <c r="E1603">
        <f>HYPERLINK("http://gitlab.osmosys.co/tp/tp360", "TP360")</f>
        <v/>
      </c>
      <c r="F1603">
        <f>HYPERLINK("http://gitlab.osmosys.co/tp/tp360/-/merge_requests/2940", "13803: Implement new changes related to hotel payment processing search popup")</f>
        <v/>
      </c>
      <c r="G1603" t="inlineStr">
        <is>
          <t>dev/hotel-pp-new</t>
        </is>
      </c>
      <c r="H1603" t="inlineStr">
        <is>
          <t>PreTest_Development</t>
        </is>
      </c>
      <c r="I1603" t="inlineStr">
        <is>
          <t>merged</t>
        </is>
      </c>
      <c r="J1603" t="inlineStr"/>
      <c r="K1603" t="inlineStr"/>
      <c r="L1603" t="inlineStr"/>
      <c r="M1603" t="inlineStr"/>
      <c r="N1603" t="inlineStr"/>
      <c r="O1603" t="inlineStr"/>
      <c r="P1603" t="inlineStr"/>
      <c r="Q1603" t="inlineStr"/>
    </row>
    <row r="1604">
      <c r="A1604" t="inlineStr">
        <is>
          <t>sanskar.jain</t>
        </is>
      </c>
      <c r="B1604" t="inlineStr">
        <is>
          <t>Sanskar Jain</t>
        </is>
      </c>
      <c r="C1604" t="inlineStr">
        <is>
          <t>sanskar.j@osmosys.co</t>
        </is>
      </c>
      <c r="D1604" t="inlineStr">
        <is>
          <t>tp</t>
        </is>
      </c>
      <c r="E1604">
        <f>HYPERLINK("http://gitlab.osmosys.co/tp/tp360", "TP360")</f>
        <v/>
      </c>
      <c r="F1604">
        <f>HYPERLINK("http://gitlab.osmosys.co/tp/tp360/-/merge_requests/2927", "13803: Remove manager condition from Hotel Payment Processing Worksheet")</f>
        <v/>
      </c>
      <c r="G1604" t="inlineStr">
        <is>
          <t>dev/remove-condition</t>
        </is>
      </c>
      <c r="H1604" t="inlineStr">
        <is>
          <t>PreTest_Development</t>
        </is>
      </c>
      <c r="I1604" t="inlineStr">
        <is>
          <t>merged</t>
        </is>
      </c>
      <c r="J1604" t="inlineStr"/>
      <c r="K1604" t="inlineStr"/>
      <c r="L1604" t="inlineStr"/>
      <c r="M1604" t="inlineStr"/>
      <c r="N1604" t="inlineStr"/>
      <c r="O1604" t="inlineStr"/>
      <c r="P1604" t="inlineStr"/>
      <c r="Q1604" t="inlineStr"/>
    </row>
    <row r="1605">
      <c r="A1605" t="inlineStr">
        <is>
          <t>sanskar.jain</t>
        </is>
      </c>
      <c r="B1605" t="inlineStr">
        <is>
          <t>Sanskar Jain</t>
        </is>
      </c>
      <c r="C1605" t="inlineStr">
        <is>
          <t>sanskar.j@osmosys.co</t>
        </is>
      </c>
      <c r="D1605" t="inlineStr">
        <is>
          <t>tp</t>
        </is>
      </c>
      <c r="E1605">
        <f>HYPERLINK("http://gitlab.osmosys.co/tp/tp360", "TP360")</f>
        <v/>
      </c>
      <c r="F1605">
        <f>HYPERLINK("http://gitlab.osmosys.co/tp/tp360/-/merge_requests/2919", "13803: Update search box position and formatter for $0 in hotel payment processing worksheet.")</f>
        <v/>
      </c>
      <c r="G1605" t="inlineStr">
        <is>
          <t>dev/search-popup-new</t>
        </is>
      </c>
      <c r="H1605" t="inlineStr">
        <is>
          <t>PreTest_Development</t>
        </is>
      </c>
      <c r="I1605" t="inlineStr">
        <is>
          <t>merged</t>
        </is>
      </c>
      <c r="J1605" t="inlineStr"/>
      <c r="K1605" t="inlineStr"/>
      <c r="L1605" t="inlineStr"/>
      <c r="M1605" t="inlineStr"/>
      <c r="N1605" t="inlineStr"/>
      <c r="O1605" t="inlineStr"/>
      <c r="P1605" t="inlineStr"/>
      <c r="Q1605" t="inlineStr"/>
    </row>
    <row r="1606">
      <c r="A1606" t="inlineStr">
        <is>
          <t>sanskar.jain</t>
        </is>
      </c>
      <c r="B1606" t="inlineStr">
        <is>
          <t>Sanskar Jain</t>
        </is>
      </c>
      <c r="C1606" t="inlineStr">
        <is>
          <t>sanskar.j@osmosys.co</t>
        </is>
      </c>
      <c r="D1606" t="inlineStr">
        <is>
          <t>tp</t>
        </is>
      </c>
      <c r="E1606">
        <f>HYPERLINK("http://gitlab.osmosys.co/tp/tp360", "TP360")</f>
        <v/>
      </c>
      <c r="F1606">
        <f>HYPERLINK("http://gitlab.osmosys.co/tp/tp360/-/merge_requests/2917", "13803: Implement new changes for hotel payment processing worksheet popup")</f>
        <v/>
      </c>
      <c r="G1606" t="inlineStr">
        <is>
          <t>dev/hotel-pp-test</t>
        </is>
      </c>
      <c r="H1606" t="inlineStr">
        <is>
          <t>Staging_Development</t>
        </is>
      </c>
      <c r="I1606" t="inlineStr">
        <is>
          <t>merged</t>
        </is>
      </c>
      <c r="J1606" t="inlineStr"/>
      <c r="K1606" t="inlineStr"/>
      <c r="L1606" t="inlineStr"/>
      <c r="M1606" t="inlineStr"/>
      <c r="N1606" t="inlineStr"/>
      <c r="O1606" t="inlineStr"/>
      <c r="P1606" t="inlineStr"/>
      <c r="Q1606" t="inlineStr"/>
    </row>
    <row r="1607">
      <c r="A1607" t="inlineStr">
        <is>
          <t>sanskar.jain</t>
        </is>
      </c>
      <c r="B1607" t="inlineStr">
        <is>
          <t>Sanskar Jain</t>
        </is>
      </c>
      <c r="C1607" t="inlineStr">
        <is>
          <t>sanskar.j@osmosys.co</t>
        </is>
      </c>
      <c r="D1607" t="inlineStr">
        <is>
          <t>tp</t>
        </is>
      </c>
      <c r="E1607">
        <f>HYPERLINK("http://gitlab.osmosys.co/tp/tp360", "TP360")</f>
        <v/>
      </c>
      <c r="F1607">
        <f>HYPERLINK("http://gitlab.osmosys.co/tp/tp360/-/merge_requests/2906", "Issue: Fix action button alignments in guest side and worksheets")</f>
        <v/>
      </c>
      <c r="G1607" t="inlineStr">
        <is>
          <t>issue/btn-alignment-block</t>
        </is>
      </c>
      <c r="H1607" t="inlineStr">
        <is>
          <t>PreTest_Development</t>
        </is>
      </c>
      <c r="I1607" t="inlineStr">
        <is>
          <t>merged</t>
        </is>
      </c>
      <c r="J1607" t="inlineStr"/>
      <c r="K1607" t="inlineStr"/>
      <c r="L1607" t="inlineStr"/>
      <c r="M1607" t="inlineStr"/>
      <c r="N1607" t="inlineStr"/>
      <c r="O1607" t="inlineStr"/>
      <c r="P1607" t="inlineStr"/>
      <c r="Q1607" t="inlineStr"/>
    </row>
    <row r="1608">
      <c r="A1608" t="inlineStr">
        <is>
          <t>sanskar.jain</t>
        </is>
      </c>
      <c r="B1608" t="inlineStr">
        <is>
          <t>Sanskar Jain</t>
        </is>
      </c>
      <c r="C1608" t="inlineStr">
        <is>
          <t>sanskar.j@osmosys.co</t>
        </is>
      </c>
      <c r="D1608" t="inlineStr">
        <is>
          <t>tp</t>
        </is>
      </c>
      <c r="E1608">
        <f>HYPERLINK("http://gitlab.osmosys.co/tp/tp360", "TP360")</f>
        <v/>
      </c>
      <c r="F1608">
        <f>HYPERLINK("http://gitlab.osmosys.co/tp/tp360/-/merge_requests/2901", "Issue: Fix button alignment in view popup")</f>
        <v/>
      </c>
      <c r="G1608" t="inlineStr">
        <is>
          <t>issue/view-poup</t>
        </is>
      </c>
      <c r="H1608" t="inlineStr">
        <is>
          <t>PreTest_Development</t>
        </is>
      </c>
      <c r="I1608" t="inlineStr">
        <is>
          <t>merged</t>
        </is>
      </c>
      <c r="J1608" t="inlineStr"/>
      <c r="K1608" t="inlineStr"/>
      <c r="L1608" t="inlineStr"/>
      <c r="M1608" t="inlineStr"/>
      <c r="N1608" t="inlineStr"/>
      <c r="O1608" t="inlineStr"/>
      <c r="P1608" t="inlineStr"/>
      <c r="Q1608" t="inlineStr"/>
    </row>
    <row r="1609">
      <c r="A1609" t="inlineStr">
        <is>
          <t>sanskar.jain</t>
        </is>
      </c>
      <c r="B1609" t="inlineStr">
        <is>
          <t>Sanskar Jain</t>
        </is>
      </c>
      <c r="C1609" t="inlineStr">
        <is>
          <t>sanskar.j@osmosys.co</t>
        </is>
      </c>
      <c r="D1609" t="inlineStr">
        <is>
          <t>tp</t>
        </is>
      </c>
      <c r="E1609">
        <f>HYPERLINK("http://gitlab.osmosys.co/tp/tp360", "TP360")</f>
        <v/>
      </c>
      <c r="F1609">
        <f>HYPERLINK("http://gitlab.osmosys.co/tp/tp360/-/merge_requests/2900", "13803: Implement new changes for hotel payment processing worksheet popup")</f>
        <v/>
      </c>
      <c r="G1609" t="inlineStr">
        <is>
          <t>dev/search-popup-changes</t>
        </is>
      </c>
      <c r="H1609" t="inlineStr">
        <is>
          <t>PreTest_Development</t>
        </is>
      </c>
      <c r="I1609" t="inlineStr">
        <is>
          <t>merged</t>
        </is>
      </c>
      <c r="J1609" t="inlineStr"/>
      <c r="K1609" t="inlineStr"/>
      <c r="L1609" t="inlineStr"/>
      <c r="M1609" t="inlineStr"/>
      <c r="N1609" t="inlineStr"/>
      <c r="O1609" t="inlineStr"/>
      <c r="P1609" t="inlineStr"/>
      <c r="Q1609" t="inlineStr"/>
    </row>
    <row r="1610">
      <c r="A1610" t="inlineStr">
        <is>
          <t>sanskar.jain</t>
        </is>
      </c>
      <c r="B1610" t="inlineStr">
        <is>
          <t>Sanskar Jain</t>
        </is>
      </c>
      <c r="C1610" t="inlineStr">
        <is>
          <t>sanskar.j@osmosys.co</t>
        </is>
      </c>
      <c r="D1610" t="inlineStr">
        <is>
          <t>tp</t>
        </is>
      </c>
      <c r="E1610">
        <f>HYPERLINK("http://gitlab.osmosys.co/tp/tp360", "TP360")</f>
        <v/>
      </c>
      <c r="F1610">
        <f>HYPERLINK("http://gitlab.osmosys.co/tp/tp360/-/merge_requests/2897", "Issue: Change stage id param in Support Ticket")</f>
        <v/>
      </c>
      <c r="G1610" t="inlineStr">
        <is>
          <t>issue/support-ticket-param</t>
        </is>
      </c>
      <c r="H1610" t="inlineStr">
        <is>
          <t>PreTest_Development</t>
        </is>
      </c>
      <c r="I1610" t="inlineStr">
        <is>
          <t>merged</t>
        </is>
      </c>
      <c r="J1610" t="inlineStr"/>
      <c r="K1610" t="inlineStr"/>
      <c r="L1610" t="inlineStr"/>
      <c r="M1610" t="inlineStr"/>
      <c r="N1610" t="inlineStr"/>
      <c r="O1610" t="inlineStr"/>
      <c r="P1610" t="inlineStr"/>
      <c r="Q1610" t="inlineStr"/>
    </row>
    <row r="1611">
      <c r="A1611" t="inlineStr">
        <is>
          <t>sanskar.jain</t>
        </is>
      </c>
      <c r="B1611" t="inlineStr">
        <is>
          <t>Sanskar Jain</t>
        </is>
      </c>
      <c r="C1611" t="inlineStr">
        <is>
          <t>sanskar.j@osmosys.co</t>
        </is>
      </c>
      <c r="D1611" t="inlineStr">
        <is>
          <t>tp</t>
        </is>
      </c>
      <c r="E1611">
        <f>HYPERLINK("http://gitlab.osmosys.co/tp/tp360", "TP360")</f>
        <v/>
      </c>
      <c r="F1611">
        <f>HYPERLINK("http://gitlab.osmosys.co/tp/tp360/-/merge_requests/2887", "Issue : Fix button alignment after bootstrap upgrade")</f>
        <v/>
      </c>
      <c r="G1611" t="inlineStr">
        <is>
          <t>issue/btn-alignment</t>
        </is>
      </c>
      <c r="H1611" t="inlineStr">
        <is>
          <t>PreTest_Development</t>
        </is>
      </c>
      <c r="I1611" t="inlineStr">
        <is>
          <t>merged</t>
        </is>
      </c>
      <c r="J1611" t="inlineStr"/>
      <c r="K1611" t="inlineStr"/>
      <c r="L1611" t="inlineStr"/>
      <c r="M1611" t="inlineStr"/>
      <c r="N1611" t="inlineStr"/>
      <c r="O1611" t="inlineStr"/>
      <c r="P1611" t="inlineStr"/>
      <c r="Q1611" t="inlineStr"/>
    </row>
    <row r="1612">
      <c r="A1612" t="inlineStr">
        <is>
          <t>sanskar.jain</t>
        </is>
      </c>
      <c r="B1612" t="inlineStr">
        <is>
          <t>Sanskar Jain</t>
        </is>
      </c>
      <c r="C1612" t="inlineStr">
        <is>
          <t>sanskar.j@osmosys.co</t>
        </is>
      </c>
      <c r="D1612" t="inlineStr">
        <is>
          <t>tp</t>
        </is>
      </c>
      <c r="E1612">
        <f>HYPERLINK("http://gitlab.osmosys.co/tp/tp360", "TP360")</f>
        <v/>
      </c>
      <c r="F1612">
        <f>HYPERLINK("http://gitlab.osmosys.co/tp/tp360/-/merge_requests/2879", "13803: Update dropdown Id in hotel Payment Processing Worksheet")</f>
        <v/>
      </c>
      <c r="G1612" t="inlineStr">
        <is>
          <t>dev/update-dropdown-id</t>
        </is>
      </c>
      <c r="H1612" t="inlineStr">
        <is>
          <t>PreTest_Development</t>
        </is>
      </c>
      <c r="I1612" t="inlineStr">
        <is>
          <t>merged</t>
        </is>
      </c>
      <c r="J1612" t="inlineStr"/>
      <c r="K1612" t="inlineStr"/>
      <c r="L1612" t="inlineStr"/>
      <c r="M1612" t="inlineStr"/>
      <c r="N1612" t="inlineStr"/>
      <c r="O1612" t="inlineStr"/>
      <c r="P1612" t="inlineStr"/>
      <c r="Q1612" t="inlineStr"/>
    </row>
    <row r="1613">
      <c r="A1613" t="inlineStr">
        <is>
          <t>sanskar.jain</t>
        </is>
      </c>
      <c r="B1613" t="inlineStr">
        <is>
          <t>Sanskar Jain</t>
        </is>
      </c>
      <c r="C1613" t="inlineStr">
        <is>
          <t>sanskar.j@osmosys.co</t>
        </is>
      </c>
      <c r="D1613" t="inlineStr">
        <is>
          <t>tp</t>
        </is>
      </c>
      <c r="E1613">
        <f>HYPERLINK("http://gitlab.osmosys.co/tp/tp360", "TP360")</f>
        <v/>
      </c>
      <c r="F1613">
        <f>HYPERLINK("http://gitlab.osmosys.co/tp/tp360/-/merge_requests/2874", "13803 : Integrate save api in Hotel Payment Processing Worksheet")</f>
        <v/>
      </c>
      <c r="G1613" t="inlineStr">
        <is>
          <t>dev/save-api-hotel-pp</t>
        </is>
      </c>
      <c r="H1613" t="inlineStr">
        <is>
          <t>PreTest_Development</t>
        </is>
      </c>
      <c r="I1613" t="inlineStr">
        <is>
          <t>merged</t>
        </is>
      </c>
      <c r="J1613" t="inlineStr"/>
      <c r="K1613" t="inlineStr"/>
      <c r="L1613" t="inlineStr"/>
      <c r="M1613" t="inlineStr"/>
      <c r="N1613" t="inlineStr"/>
      <c r="O1613" t="inlineStr"/>
      <c r="P1613" t="inlineStr"/>
      <c r="Q1613" t="inlineStr"/>
    </row>
    <row r="1614">
      <c r="A1614" t="inlineStr">
        <is>
          <t>sanskar.jain</t>
        </is>
      </c>
      <c r="B1614" t="inlineStr">
        <is>
          <t>Sanskar Jain</t>
        </is>
      </c>
      <c r="C1614" t="inlineStr">
        <is>
          <t>sanskar.j@osmosys.co</t>
        </is>
      </c>
      <c r="D1614" t="inlineStr">
        <is>
          <t>tp</t>
        </is>
      </c>
      <c r="E1614">
        <f>HYPERLINK("http://gitlab.osmosys.co/tp/tp360", "TP360")</f>
        <v/>
      </c>
      <c r="F1614">
        <f>HYPERLINK("http://gitlab.osmosys.co/tp/tp360/-/merge_requests/2868", "Issue: Fix save all button in hotel commission worksheet")</f>
        <v/>
      </c>
      <c r="G1614" t="inlineStr">
        <is>
          <t>issue/save-all-hotel-comm</t>
        </is>
      </c>
      <c r="H1614" t="inlineStr">
        <is>
          <t>PreTest_Development</t>
        </is>
      </c>
      <c r="I1614" t="inlineStr">
        <is>
          <t>merged</t>
        </is>
      </c>
      <c r="J1614" t="inlineStr"/>
      <c r="K1614" t="inlineStr"/>
      <c r="L1614" t="inlineStr"/>
      <c r="M1614" t="inlineStr"/>
      <c r="N1614" t="inlineStr"/>
      <c r="O1614" t="inlineStr"/>
      <c r="P1614" t="inlineStr"/>
      <c r="Q1614" t="inlineStr"/>
    </row>
    <row r="1615">
      <c r="A1615" t="inlineStr">
        <is>
          <t>sanskar.jain</t>
        </is>
      </c>
      <c r="B1615" t="inlineStr">
        <is>
          <t>Sanskar Jain</t>
        </is>
      </c>
      <c r="C1615" t="inlineStr">
        <is>
          <t>sanskar.j@osmosys.co</t>
        </is>
      </c>
      <c r="D1615" t="inlineStr">
        <is>
          <t>tp</t>
        </is>
      </c>
      <c r="E1615">
        <f>HYPERLINK("http://gitlab.osmosys.co/tp/hometrak", "HomeTrak")</f>
        <v/>
      </c>
      <c r="F1615">
        <f>HYPERLINK("http://gitlab.osmosys.co/tp/hometrak/-/merge_requests/77", "18015: Update claim number format for farmers")</f>
        <v/>
      </c>
      <c r="G1615" t="inlineStr">
        <is>
          <t>dev-farmers-claim-format</t>
        </is>
      </c>
      <c r="H1615" t="inlineStr">
        <is>
          <t>Staging_Development</t>
        </is>
      </c>
      <c r="I1615" t="inlineStr">
        <is>
          <t>opened</t>
        </is>
      </c>
      <c r="J1615" t="inlineStr"/>
      <c r="K1615" t="inlineStr"/>
      <c r="L1615" t="inlineStr"/>
      <c r="M1615" t="inlineStr"/>
      <c r="N1615" t="inlineStr"/>
      <c r="O1615" t="inlineStr"/>
      <c r="P1615" t="inlineStr"/>
      <c r="Q1615" t="inlineStr"/>
    </row>
    <row r="1616">
      <c r="A1616" t="inlineStr">
        <is>
          <t>sanskar.jain</t>
        </is>
      </c>
      <c r="B1616" t="inlineStr">
        <is>
          <t>Sanskar Jain</t>
        </is>
      </c>
      <c r="C1616" t="inlineStr">
        <is>
          <t>sanskar.j@osmosys.co</t>
        </is>
      </c>
      <c r="D1616" t="inlineStr">
        <is>
          <t>tp</t>
        </is>
      </c>
      <c r="E1616">
        <f>HYPERLINK("http://gitlab.osmosys.co/tp/hometrak", "HomeTrak")</f>
        <v/>
      </c>
      <c r="F1616">
        <f>HYPERLINK("http://gitlab.osmosys.co/tp/hometrak/-/merge_requests/76", "Issue: Update the http get function in Adjuster Dropdown api")</f>
        <v/>
      </c>
      <c r="G1616" t="inlineStr">
        <is>
          <t>issue/cors-erros</t>
        </is>
      </c>
      <c r="H1616" t="inlineStr">
        <is>
          <t>Staging_Development</t>
        </is>
      </c>
      <c r="I1616" t="inlineStr">
        <is>
          <t>merged</t>
        </is>
      </c>
      <c r="J1616" t="inlineStr"/>
      <c r="K1616" t="inlineStr"/>
      <c r="L1616" t="inlineStr"/>
      <c r="M1616" t="inlineStr"/>
      <c r="N1616" t="inlineStr"/>
      <c r="O1616" t="inlineStr"/>
      <c r="P1616" t="inlineStr"/>
      <c r="Q1616" t="inlineStr"/>
    </row>
    <row r="1617">
      <c r="A1617" t="inlineStr">
        <is>
          <t>sanskar.jain</t>
        </is>
      </c>
      <c r="B1617" t="inlineStr">
        <is>
          <t>Sanskar Jain</t>
        </is>
      </c>
      <c r="C1617" t="inlineStr">
        <is>
          <t>sanskar.j@osmosys.co</t>
        </is>
      </c>
      <c r="D1617" t="inlineStr">
        <is>
          <t>tp</t>
        </is>
      </c>
      <c r="E1617">
        <f>HYPERLINK("http://gitlab.osmosys.co/tp/hometrak", "HomeTrak")</f>
        <v/>
      </c>
      <c r="F1617">
        <f>HYPERLINK("http://gitlab.osmosys.co/tp/hometrak/-/merge_requests/73", "Issue : Add condition to call GetCustomer api when response id is -1")</f>
        <v/>
      </c>
      <c r="G1617" t="inlineStr">
        <is>
          <t>issue/api-responseid</t>
        </is>
      </c>
      <c r="H1617" t="inlineStr">
        <is>
          <t>Staging_Development</t>
        </is>
      </c>
      <c r="I1617" t="inlineStr">
        <is>
          <t>merged</t>
        </is>
      </c>
      <c r="J1617" t="inlineStr"/>
      <c r="K1617" t="inlineStr"/>
      <c r="L1617" t="inlineStr"/>
      <c r="M1617" t="inlineStr"/>
      <c r="N1617" t="inlineStr"/>
      <c r="O1617" t="inlineStr"/>
      <c r="P1617" t="inlineStr"/>
      <c r="Q1617" t="inlineStr"/>
    </row>
    <row r="1618">
      <c r="A1618" t="inlineStr">
        <is>
          <t>sanskar.jain</t>
        </is>
      </c>
      <c r="B1618" t="inlineStr">
        <is>
          <t>Sanskar Jain</t>
        </is>
      </c>
      <c r="C1618" t="inlineStr">
        <is>
          <t>sanskar.j@osmosys.co</t>
        </is>
      </c>
      <c r="D1618" t="inlineStr">
        <is>
          <t>tp</t>
        </is>
      </c>
      <c r="E1618">
        <f>HYPERLINK("http://gitlab.osmosys.co/tp/hometrak", "HomeTrak")</f>
        <v/>
      </c>
      <c r="F1618">
        <f>HYPERLINK("http://gitlab.osmosys.co/tp/hometrak/-/merge_requests/71", "Issue: Fix api calls for customer page")</f>
        <v/>
      </c>
      <c r="G1618" t="inlineStr">
        <is>
          <t>issue/api-call</t>
        </is>
      </c>
      <c r="H1618" t="inlineStr">
        <is>
          <t>Staging_Development</t>
        </is>
      </c>
      <c r="I1618" t="inlineStr">
        <is>
          <t>merged</t>
        </is>
      </c>
      <c r="J1618" t="inlineStr"/>
      <c r="K1618" t="inlineStr"/>
      <c r="L1618" t="inlineStr"/>
      <c r="M1618" t="inlineStr"/>
      <c r="N1618" t="inlineStr"/>
      <c r="O1618" t="inlineStr"/>
      <c r="P1618" t="inlineStr"/>
      <c r="Q1618" t="inlineStr"/>
    </row>
    <row r="1619">
      <c r="A1619" t="inlineStr">
        <is>
          <t>sankalp.g</t>
        </is>
      </c>
      <c r="B1619" t="inlineStr">
        <is>
          <t>Sankalp Gupta</t>
        </is>
      </c>
      <c r="C1619" t="inlineStr">
        <is>
          <t>sankalp.g@osmosys.co</t>
        </is>
      </c>
      <c r="D1619" t="inlineStr">
        <is>
          <t>tp</t>
        </is>
      </c>
      <c r="E1619">
        <f>HYPERLINK("http://gitlab.osmosys.co/tp/tp360", "TP360")</f>
        <v/>
      </c>
      <c r="F1619">
        <f>HYPERLINK("http://gitlab.osmosys.co/tp/tp360/-/merge_requests/3115", "14725 : Fix due day of month not populating after save all")</f>
        <v/>
      </c>
      <c r="G1619" t="inlineStr">
        <is>
          <t>issue/data-entry-save-all</t>
        </is>
      </c>
      <c r="H1619" t="inlineStr">
        <is>
          <t>PreTest_Development</t>
        </is>
      </c>
      <c r="I1619" t="inlineStr">
        <is>
          <t>opened</t>
        </is>
      </c>
      <c r="J1619" t="inlineStr"/>
      <c r="K1619" t="inlineStr"/>
      <c r="L1619" t="inlineStr"/>
      <c r="M1619" t="inlineStr"/>
      <c r="N1619" t="inlineStr"/>
      <c r="O1619" t="inlineStr"/>
      <c r="P1619" t="inlineStr"/>
      <c r="Q1619" t="inlineStr"/>
    </row>
    <row r="1620">
      <c r="A1620" t="inlineStr">
        <is>
          <t>sankalp.g</t>
        </is>
      </c>
      <c r="B1620" t="inlineStr">
        <is>
          <t>Sankalp Gupta</t>
        </is>
      </c>
      <c r="C1620" t="inlineStr">
        <is>
          <t>sankalp.g@osmosys.co</t>
        </is>
      </c>
      <c r="D1620" t="inlineStr">
        <is>
          <t>tp</t>
        </is>
      </c>
      <c r="E1620">
        <f>HYPERLINK("http://gitlab.osmosys.co/tp/tp360", "TP360")</f>
        <v/>
      </c>
      <c r="F1620">
        <f>HYPERLINK("http://gitlab.osmosys.co/tp/tp360/-/merge_requests/3107", "Draft: 16091 : Design daily rate popup for extension worksheet")</f>
        <v/>
      </c>
      <c r="G1620" t="inlineStr">
        <is>
          <t>dev/email-extraction-extension-worksheet</t>
        </is>
      </c>
      <c r="H1620" t="inlineStr">
        <is>
          <t>PreTest_Development</t>
        </is>
      </c>
      <c r="I1620" t="inlineStr">
        <is>
          <t>opened</t>
        </is>
      </c>
      <c r="J1620" t="inlineStr"/>
      <c r="K1620" t="inlineStr"/>
      <c r="L1620" t="inlineStr"/>
      <c r="M1620" t="inlineStr"/>
      <c r="N1620" t="inlineStr"/>
      <c r="O1620" t="inlineStr"/>
      <c r="P1620" t="inlineStr"/>
      <c r="Q1620" t="inlineStr"/>
    </row>
    <row r="1621">
      <c r="A1621" t="inlineStr">
        <is>
          <t>sankalp.g</t>
        </is>
      </c>
      <c r="B1621" t="inlineStr">
        <is>
          <t>Sankalp Gupta</t>
        </is>
      </c>
      <c r="C1621" t="inlineStr">
        <is>
          <t>sankalp.g@osmosys.co</t>
        </is>
      </c>
      <c r="D1621" t="inlineStr">
        <is>
          <t>tp</t>
        </is>
      </c>
      <c r="E1621">
        <f>HYPERLINK("http://gitlab.osmosys.co/tp/tp360", "TP360")</f>
        <v/>
      </c>
      <c r="F1621">
        <f>HYPERLINK("http://gitlab.osmosys.co/tp/tp360/-/merge_requests/3095", "Draft: 18979 : Design template invoices 7, 20, 14 and 16")</f>
        <v/>
      </c>
      <c r="G1621" t="inlineStr">
        <is>
          <t>dev/invoice-template-7-20-14-16</t>
        </is>
      </c>
      <c r="H1621" t="inlineStr">
        <is>
          <t>PreTest_Development</t>
        </is>
      </c>
      <c r="I1621" t="inlineStr">
        <is>
          <t>opened</t>
        </is>
      </c>
      <c r="J1621" t="inlineStr"/>
      <c r="K1621" t="inlineStr"/>
      <c r="L1621" t="inlineStr"/>
      <c r="M1621" t="inlineStr"/>
      <c r="N1621" t="inlineStr"/>
      <c r="O1621" t="inlineStr"/>
      <c r="P1621" t="inlineStr"/>
      <c r="Q1621" t="inlineStr"/>
    </row>
    <row r="1622">
      <c r="A1622" t="inlineStr">
        <is>
          <t>sankalp.g</t>
        </is>
      </c>
      <c r="B1622" t="inlineStr">
        <is>
          <t>Sankalp Gupta</t>
        </is>
      </c>
      <c r="C1622" t="inlineStr">
        <is>
          <t>sankalp.g@osmosys.co</t>
        </is>
      </c>
      <c r="D1622" t="inlineStr">
        <is>
          <t>tp</t>
        </is>
      </c>
      <c r="E1622">
        <f>HYPERLINK("http://gitlab.osmosys.co/tp/tp360", "TP360")</f>
        <v/>
      </c>
      <c r="F1622">
        <f>HYPERLINK("http://gitlab.osmosys.co/tp/tp360/-/merge_requests/3079", "Draft: Issue : Separate peril reason and bl peril in guest hotel audit popup")</f>
        <v/>
      </c>
      <c r="G1622" t="inlineStr">
        <is>
          <t>issue/guest-hotel-audit-peril-test</t>
        </is>
      </c>
      <c r="H1622" t="inlineStr">
        <is>
          <t>Staging_Development</t>
        </is>
      </c>
      <c r="I1622" t="inlineStr">
        <is>
          <t>opened</t>
        </is>
      </c>
      <c r="J1622" t="inlineStr"/>
      <c r="K1622" t="inlineStr"/>
      <c r="L1622" t="inlineStr"/>
      <c r="M1622" t="inlineStr"/>
      <c r="N1622" t="inlineStr"/>
      <c r="O1622" t="inlineStr"/>
      <c r="P1622" t="inlineStr"/>
      <c r="Q1622" t="inlineStr"/>
    </row>
    <row r="1623">
      <c r="A1623" t="inlineStr">
        <is>
          <t>sankalp.g</t>
        </is>
      </c>
      <c r="B1623" t="inlineStr">
        <is>
          <t>Sankalp Gupta</t>
        </is>
      </c>
      <c r="C1623" t="inlineStr">
        <is>
          <t>sankalp.g@osmosys.co</t>
        </is>
      </c>
      <c r="D1623" t="inlineStr">
        <is>
          <t>tp</t>
        </is>
      </c>
      <c r="E1623">
        <f>HYPERLINK("http://gitlab.osmosys.co/tp/tp360", "TP360")</f>
        <v/>
      </c>
      <c r="F1623">
        <f>HYPERLINK("http://gitlab.osmosys.co/tp/tp360/-/merge_requests/3076", "Issue : Separate peril reason and bl peril in guest hotel audit popup")</f>
        <v/>
      </c>
      <c r="G1623" t="inlineStr">
        <is>
          <t>issue/guest-hotel-audit-peril</t>
        </is>
      </c>
      <c r="H1623" t="inlineStr">
        <is>
          <t>PreTest_Development</t>
        </is>
      </c>
      <c r="I1623" t="inlineStr">
        <is>
          <t>merged</t>
        </is>
      </c>
      <c r="J1623" t="inlineStr"/>
      <c r="K1623" t="inlineStr"/>
      <c r="L1623" t="inlineStr"/>
      <c r="M1623" t="inlineStr"/>
      <c r="N1623" t="inlineStr"/>
      <c r="O1623" t="inlineStr"/>
      <c r="P1623" t="inlineStr"/>
      <c r="Q1623" t="inlineStr"/>
    </row>
    <row r="1624">
      <c r="A1624" t="inlineStr">
        <is>
          <t>sankalp.g</t>
        </is>
      </c>
      <c r="B1624" t="inlineStr">
        <is>
          <t>Sankalp Gupta</t>
        </is>
      </c>
      <c r="C1624" t="inlineStr">
        <is>
          <t>sankalp.g@osmosys.co</t>
        </is>
      </c>
      <c r="D1624" t="inlineStr">
        <is>
          <t>tp</t>
        </is>
      </c>
      <c r="E1624">
        <f>HYPERLINK("http://gitlab.osmosys.co/tp/tp360", "TP360")</f>
        <v/>
      </c>
      <c r="F1624">
        <f>HYPERLINK("http://gitlab.osmosys.co/tp/tp360/-/merge_requests/3052", "Issue : Fix isAlt going blank for non alt files in pick charge component")</f>
        <v/>
      </c>
      <c r="G1624" t="inlineStr">
        <is>
          <t>issue/charges-issue</t>
        </is>
      </c>
      <c r="H1624" t="inlineStr">
        <is>
          <t>PreTest_Development</t>
        </is>
      </c>
      <c r="I1624" t="inlineStr">
        <is>
          <t>merged</t>
        </is>
      </c>
      <c r="J1624" t="inlineStr"/>
      <c r="K1624" t="inlineStr"/>
      <c r="L1624" t="inlineStr"/>
      <c r="M1624" t="inlineStr"/>
      <c r="N1624" t="inlineStr"/>
      <c r="O1624" t="inlineStr"/>
      <c r="P1624" t="inlineStr"/>
      <c r="Q1624" t="inlineStr"/>
    </row>
    <row r="1625">
      <c r="A1625" t="inlineStr">
        <is>
          <t>sankalp.g</t>
        </is>
      </c>
      <c r="B1625" t="inlineStr">
        <is>
          <t>Sankalp Gupta</t>
        </is>
      </c>
      <c r="C1625" t="inlineStr">
        <is>
          <t>sankalp.g@osmosys.co</t>
        </is>
      </c>
      <c r="D1625" t="inlineStr">
        <is>
          <t>tp</t>
        </is>
      </c>
      <c r="E1625">
        <f>HYPERLINK("http://gitlab.osmosys.co/tp/tp360", "TP360")</f>
        <v/>
      </c>
      <c r="F1625">
        <f>HYPERLINK("http://gitlab.osmosys.co/tp/tp360/-/merge_requests/3045", "16034 : Allow only managers to edit the cc consulatant field")</f>
        <v/>
      </c>
      <c r="G1625" t="inlineStr">
        <is>
          <t>dev/cc-consultant-manager-roles</t>
        </is>
      </c>
      <c r="H1625" t="inlineStr">
        <is>
          <t>PreTest_Development</t>
        </is>
      </c>
      <c r="I1625" t="inlineStr">
        <is>
          <t>opened</t>
        </is>
      </c>
      <c r="J1625" t="inlineStr"/>
      <c r="K1625" t="inlineStr"/>
      <c r="L1625" t="inlineStr"/>
      <c r="M1625" t="inlineStr"/>
      <c r="N1625" t="inlineStr"/>
      <c r="O1625" t="inlineStr"/>
      <c r="P1625" t="inlineStr"/>
      <c r="Q1625" t="inlineStr"/>
    </row>
    <row r="1626">
      <c r="A1626" t="inlineStr">
        <is>
          <t>sankalp.g</t>
        </is>
      </c>
      <c r="B1626" t="inlineStr">
        <is>
          <t>Sankalp Gupta</t>
        </is>
      </c>
      <c r="C1626" t="inlineStr">
        <is>
          <t>sankalp.g@osmosys.co</t>
        </is>
      </c>
      <c r="D1626" t="inlineStr">
        <is>
          <t>tp</t>
        </is>
      </c>
      <c r="E1626">
        <f>HYPERLINK("http://gitlab.osmosys.co/tp/tp360", "TP360")</f>
        <v/>
      </c>
      <c r="F1626">
        <f>HYPERLINK("http://gitlab.osmosys.co/tp/tp360/-/merge_requests/3043", "16349 : Auto calculate estimate ale in data entry and referral charges")</f>
        <v/>
      </c>
      <c r="G1626" t="inlineStr">
        <is>
          <t>dev/auto-calculate-ale</t>
        </is>
      </c>
      <c r="H1626" t="inlineStr">
        <is>
          <t>PreTest_Development</t>
        </is>
      </c>
      <c r="I1626" t="inlineStr">
        <is>
          <t>opened</t>
        </is>
      </c>
      <c r="J1626" t="inlineStr"/>
      <c r="K1626" t="inlineStr"/>
      <c r="L1626" t="inlineStr"/>
      <c r="M1626" t="inlineStr"/>
      <c r="N1626" t="inlineStr"/>
      <c r="O1626" t="inlineStr"/>
      <c r="P1626" t="inlineStr"/>
      <c r="Q1626" t="inlineStr"/>
    </row>
    <row r="1627">
      <c r="A1627" t="inlineStr">
        <is>
          <t>sankalp.g</t>
        </is>
      </c>
      <c r="B1627" t="inlineStr">
        <is>
          <t>Sankalp Gupta</t>
        </is>
      </c>
      <c r="C1627" t="inlineStr">
        <is>
          <t>sankalp.g@osmosys.co</t>
        </is>
      </c>
      <c r="D1627" t="inlineStr">
        <is>
          <t>tp</t>
        </is>
      </c>
      <c r="E1627">
        <f>HYPERLINK("http://gitlab.osmosys.co/tp/tp360", "TP360")</f>
        <v/>
      </c>
      <c r="F1627">
        <f>HYPERLINK("http://gitlab.osmosys.co/tp/tp360/-/merge_requests/3040", "Issue : Add sorting for service fee savings")</f>
        <v/>
      </c>
      <c r="G1627" t="inlineStr">
        <is>
          <t>issue/service-fee-savings-sort</t>
        </is>
      </c>
      <c r="H1627" t="inlineStr">
        <is>
          <t>PreTest_Development</t>
        </is>
      </c>
      <c r="I1627" t="inlineStr">
        <is>
          <t>merged</t>
        </is>
      </c>
      <c r="J1627" t="inlineStr"/>
      <c r="K1627" t="inlineStr"/>
      <c r="L1627" t="inlineStr"/>
      <c r="M1627" t="inlineStr"/>
      <c r="N1627" t="inlineStr"/>
      <c r="O1627" t="inlineStr"/>
      <c r="P1627" t="inlineStr"/>
      <c r="Q1627" t="inlineStr"/>
    </row>
    <row r="1628">
      <c r="A1628" t="inlineStr">
        <is>
          <t>sankalp.g</t>
        </is>
      </c>
      <c r="B1628" t="inlineStr">
        <is>
          <t>Sankalp Gupta</t>
        </is>
      </c>
      <c r="C1628" t="inlineStr">
        <is>
          <t>sankalp.g@osmosys.co</t>
        </is>
      </c>
      <c r="D1628" t="inlineStr">
        <is>
          <t>tp</t>
        </is>
      </c>
      <c r="E1628">
        <f>HYPERLINK("http://gitlab.osmosys.co/tp/tp360", "TP360")</f>
        <v/>
      </c>
      <c r="F1628">
        <f>HYPERLINK("http://gitlab.osmosys.co/tp/tp360/-/merge_requests/3029", "13914 : Add bl peril mandatory toast message in quick business lodging")</f>
        <v/>
      </c>
      <c r="G1628" t="inlineStr">
        <is>
          <t>dev/bl-peril-mandatory-toast-message</t>
        </is>
      </c>
      <c r="H1628" t="inlineStr">
        <is>
          <t>PreTest_Development</t>
        </is>
      </c>
      <c r="I1628" t="inlineStr">
        <is>
          <t>merged</t>
        </is>
      </c>
      <c r="J1628" t="inlineStr"/>
      <c r="K1628" t="inlineStr"/>
      <c r="L1628" t="inlineStr"/>
      <c r="M1628" t="inlineStr"/>
      <c r="N1628" t="inlineStr"/>
      <c r="O1628" t="inlineStr"/>
      <c r="P1628" t="inlineStr"/>
      <c r="Q1628" t="inlineStr"/>
    </row>
    <row r="1629">
      <c r="A1629" t="inlineStr">
        <is>
          <t>sankalp.g</t>
        </is>
      </c>
      <c r="B1629" t="inlineStr">
        <is>
          <t>Sankalp Gupta</t>
        </is>
      </c>
      <c r="C1629" t="inlineStr">
        <is>
          <t>sankalp.g@osmosys.co</t>
        </is>
      </c>
      <c r="D1629" t="inlineStr">
        <is>
          <t>tp</t>
        </is>
      </c>
      <c r="E1629">
        <f>HYPERLINK("http://gitlab.osmosys.co/tp/tp360", "TP360")</f>
        <v/>
      </c>
      <c r="F1629">
        <f>HYPERLINK("http://gitlab.osmosys.co/tp/tp360/-/merge_requests/3027", "13914 : Make bl peril mandatory field")</f>
        <v/>
      </c>
      <c r="G1629" t="inlineStr">
        <is>
          <t>dev/bl-peril-mandatory-test</t>
        </is>
      </c>
      <c r="H1629" t="inlineStr">
        <is>
          <t>Staging_Development</t>
        </is>
      </c>
      <c r="I1629" t="inlineStr">
        <is>
          <t>merged</t>
        </is>
      </c>
      <c r="J1629" t="inlineStr"/>
      <c r="K1629" t="inlineStr"/>
      <c r="L1629" t="inlineStr"/>
      <c r="M1629" t="inlineStr"/>
      <c r="N1629" t="inlineStr"/>
      <c r="O1629" t="inlineStr"/>
      <c r="P1629" t="inlineStr"/>
      <c r="Q1629" t="inlineStr"/>
    </row>
    <row r="1630">
      <c r="A1630" t="inlineStr">
        <is>
          <t>sankalp.g</t>
        </is>
      </c>
      <c r="B1630" t="inlineStr">
        <is>
          <t>Sankalp Gupta</t>
        </is>
      </c>
      <c r="C1630" t="inlineStr">
        <is>
          <t>sankalp.g@osmosys.co</t>
        </is>
      </c>
      <c r="D1630" t="inlineStr">
        <is>
          <t>tp</t>
        </is>
      </c>
      <c r="E1630">
        <f>HYPERLINK("http://gitlab.osmosys.co/tp/tp360", "TP360")</f>
        <v/>
      </c>
      <c r="F1630">
        <f>HYPERLINK("http://gitlab.osmosys.co/tp/tp360/-/merge_requests/3019", "17640 : Redesign agent note and add issue list into it")</f>
        <v/>
      </c>
      <c r="G1630" t="inlineStr">
        <is>
          <t>cherry-pick-c01452dd</t>
        </is>
      </c>
      <c r="H1630" t="inlineStr">
        <is>
          <t>Live_Bridge</t>
        </is>
      </c>
      <c r="I1630" t="inlineStr">
        <is>
          <t>merged</t>
        </is>
      </c>
      <c r="J1630" t="inlineStr"/>
      <c r="K1630" t="inlineStr"/>
      <c r="L1630" t="inlineStr"/>
      <c r="M1630" t="inlineStr"/>
      <c r="N1630" t="inlineStr"/>
      <c r="O1630" t="inlineStr"/>
      <c r="P1630" t="inlineStr"/>
      <c r="Q1630" t="inlineStr"/>
    </row>
    <row r="1631">
      <c r="A1631" t="inlineStr">
        <is>
          <t>sankalp.g</t>
        </is>
      </c>
      <c r="B1631" t="inlineStr">
        <is>
          <t>Sankalp Gupta</t>
        </is>
      </c>
      <c r="C1631" t="inlineStr">
        <is>
          <t>sankalp.g@osmosys.co</t>
        </is>
      </c>
      <c r="D1631" t="inlineStr">
        <is>
          <t>tp</t>
        </is>
      </c>
      <c r="E1631">
        <f>HYPERLINK("http://gitlab.osmosys.co/tp/tp360", "TP360")</f>
        <v/>
      </c>
      <c r="F1631">
        <f>HYPERLINK("http://gitlab.osmosys.co/tp/tp360/-/merge_requests/3007", "Issue : Mark all the checkbox labels as mentioned in excel sheet")</f>
        <v/>
      </c>
      <c r="G1631" t="inlineStr">
        <is>
          <t>issue/agent-notes-issue-list-case-sensitive</t>
        </is>
      </c>
      <c r="H1631" t="inlineStr">
        <is>
          <t>PreTest_Development</t>
        </is>
      </c>
      <c r="I1631" t="inlineStr">
        <is>
          <t>merged</t>
        </is>
      </c>
      <c r="J1631" t="inlineStr"/>
      <c r="K1631" t="inlineStr"/>
      <c r="L1631" t="inlineStr"/>
      <c r="M1631" t="inlineStr"/>
      <c r="N1631" t="inlineStr"/>
      <c r="O1631" t="inlineStr"/>
      <c r="P1631" t="inlineStr"/>
      <c r="Q1631" t="inlineStr"/>
    </row>
    <row r="1632">
      <c r="A1632" t="inlineStr">
        <is>
          <t>sankalp.g</t>
        </is>
      </c>
      <c r="B1632" t="inlineStr">
        <is>
          <t>Sankalp Gupta</t>
        </is>
      </c>
      <c r="C1632" t="inlineStr">
        <is>
          <t>sankalp.g@osmosys.co</t>
        </is>
      </c>
      <c r="D1632" t="inlineStr">
        <is>
          <t>tp</t>
        </is>
      </c>
      <c r="E1632">
        <f>HYPERLINK("http://gitlab.osmosys.co/tp/tp360", "TP360")</f>
        <v/>
      </c>
      <c r="F1632">
        <f>HYPERLINK("http://gitlab.osmosys.co/tp/tp360/-/merge_requests/2994", "17640 : Change the labels for the issues in the api payload")</f>
        <v/>
      </c>
      <c r="G1632" t="inlineStr">
        <is>
          <t>issue/change-label-names-issue-payload</t>
        </is>
      </c>
      <c r="H1632" t="inlineStr">
        <is>
          <t>PreTest_Development</t>
        </is>
      </c>
      <c r="I1632" t="inlineStr">
        <is>
          <t>merged</t>
        </is>
      </c>
      <c r="J1632" t="inlineStr"/>
      <c r="K1632" t="inlineStr"/>
      <c r="L1632" t="inlineStr"/>
      <c r="M1632" t="inlineStr"/>
      <c r="N1632" t="inlineStr"/>
      <c r="O1632" t="inlineStr"/>
      <c r="P1632" t="inlineStr"/>
      <c r="Q1632" t="inlineStr"/>
    </row>
    <row r="1633">
      <c r="A1633" t="inlineStr">
        <is>
          <t>sankalp.g</t>
        </is>
      </c>
      <c r="B1633" t="inlineStr">
        <is>
          <t>Sankalp Gupta</t>
        </is>
      </c>
      <c r="C1633" t="inlineStr">
        <is>
          <t>sankalp.g@osmosys.co</t>
        </is>
      </c>
      <c r="D1633" t="inlineStr">
        <is>
          <t>tp</t>
        </is>
      </c>
      <c r="E1633">
        <f>HYPERLINK("http://gitlab.osmosys.co/tp/tp360", "TP360")</f>
        <v/>
      </c>
      <c r="F1633">
        <f>HYPERLINK("http://gitlab.osmosys.co/tp/tp360/-/merge_requests/2977", "17640 : Reduce the gap between the heading in agent notes")</f>
        <v/>
      </c>
      <c r="G1633" t="inlineStr">
        <is>
          <t>dev/reloshare-worksheet-agent-notes</t>
        </is>
      </c>
      <c r="H1633" t="inlineStr">
        <is>
          <t>PreTest_Development</t>
        </is>
      </c>
      <c r="I1633" t="inlineStr">
        <is>
          <t>merged</t>
        </is>
      </c>
      <c r="J1633" t="inlineStr"/>
      <c r="K1633" t="inlineStr"/>
      <c r="L1633" t="inlineStr"/>
      <c r="M1633" t="inlineStr"/>
      <c r="N1633" t="inlineStr"/>
      <c r="O1633" t="inlineStr"/>
      <c r="P1633" t="inlineStr"/>
      <c r="Q1633" t="inlineStr"/>
    </row>
    <row r="1634">
      <c r="A1634" t="inlineStr">
        <is>
          <t>sankalp.g</t>
        </is>
      </c>
      <c r="B1634" t="inlineStr">
        <is>
          <t>Sankalp Gupta</t>
        </is>
      </c>
      <c r="C1634" t="inlineStr">
        <is>
          <t>sankalp.g@osmosys.co</t>
        </is>
      </c>
      <c r="D1634" t="inlineStr">
        <is>
          <t>tp</t>
        </is>
      </c>
      <c r="E1634">
        <f>HYPERLINK("http://gitlab.osmosys.co/tp/tp360", "TP360")</f>
        <v/>
      </c>
      <c r="F1634">
        <f>HYPERLINK("http://gitlab.osmosys.co/tp/tp360/-/merge_requests/2969", "Issue : Fix the alignment of old notes of agent notes popup")</f>
        <v/>
      </c>
      <c r="G1634" t="inlineStr">
        <is>
          <t>issue/agent-notes-old-notes</t>
        </is>
      </c>
      <c r="H1634" t="inlineStr">
        <is>
          <t>PreTest_Development</t>
        </is>
      </c>
      <c r="I1634" t="inlineStr">
        <is>
          <t>merged</t>
        </is>
      </c>
      <c r="J1634" t="inlineStr"/>
      <c r="K1634" t="inlineStr"/>
      <c r="L1634" t="inlineStr"/>
      <c r="M1634" t="inlineStr"/>
      <c r="N1634" t="inlineStr"/>
      <c r="O1634" t="inlineStr"/>
      <c r="P1634" t="inlineStr"/>
      <c r="Q1634" t="inlineStr"/>
    </row>
    <row r="1635">
      <c r="A1635" t="inlineStr">
        <is>
          <t>sankalp.g</t>
        </is>
      </c>
      <c r="B1635" t="inlineStr">
        <is>
          <t>Sankalp Gupta</t>
        </is>
      </c>
      <c r="C1635" t="inlineStr">
        <is>
          <t>sankalp.g@osmosys.co</t>
        </is>
      </c>
      <c r="D1635" t="inlineStr">
        <is>
          <t>tp</t>
        </is>
      </c>
      <c r="E1635">
        <f>HYPERLINK("http://gitlab.osmosys.co/tp/tp360", "TP360")</f>
        <v/>
      </c>
      <c r="F1635">
        <f>HYPERLINK("http://gitlab.osmosys.co/tp/tp360/-/merge_requests/2967", "Issue : Integrate is_core_logic param in documents popup")</f>
        <v/>
      </c>
      <c r="G1635" t="inlineStr">
        <is>
          <t>issue/core-logic-documents</t>
        </is>
      </c>
      <c r="H1635" t="inlineStr">
        <is>
          <t>PreTest_Development</t>
        </is>
      </c>
      <c r="I1635" t="inlineStr">
        <is>
          <t>merged</t>
        </is>
      </c>
      <c r="J1635" t="inlineStr"/>
      <c r="K1635" t="inlineStr"/>
      <c r="L1635" t="inlineStr"/>
      <c r="M1635" t="inlineStr"/>
      <c r="N1635" t="inlineStr"/>
      <c r="O1635" t="inlineStr"/>
      <c r="P1635" t="inlineStr"/>
      <c r="Q1635" t="inlineStr"/>
    </row>
    <row r="1636">
      <c r="A1636" t="inlineStr">
        <is>
          <t>sankalp.g</t>
        </is>
      </c>
      <c r="B1636" t="inlineStr">
        <is>
          <t>Sankalp Gupta</t>
        </is>
      </c>
      <c r="C1636" t="inlineStr">
        <is>
          <t>sankalp.g@osmosys.co</t>
        </is>
      </c>
      <c r="D1636" t="inlineStr">
        <is>
          <t>tp</t>
        </is>
      </c>
      <c r="E1636">
        <f>HYPERLINK("http://gitlab.osmosys.co/tp/tp360", "TP360")</f>
        <v/>
      </c>
      <c r="F1636">
        <f>HYPERLINK("http://gitlab.osmosys.co/tp/tp360/-/merge_requests/2966", "Dev : Turn corelogic button red in documents popup")</f>
        <v/>
      </c>
      <c r="G1636" t="inlineStr">
        <is>
          <t>dev/save-button-red-corelogic</t>
        </is>
      </c>
      <c r="H1636" t="inlineStr">
        <is>
          <t>PreTest_Development</t>
        </is>
      </c>
      <c r="I1636" t="inlineStr">
        <is>
          <t>merged</t>
        </is>
      </c>
      <c r="J1636" t="inlineStr"/>
      <c r="K1636" t="inlineStr"/>
      <c r="L1636" t="inlineStr"/>
      <c r="M1636" t="inlineStr"/>
      <c r="N1636" t="inlineStr"/>
      <c r="O1636" t="inlineStr"/>
      <c r="P1636" t="inlineStr"/>
      <c r="Q1636" t="inlineStr"/>
    </row>
    <row r="1637">
      <c r="A1637" t="inlineStr">
        <is>
          <t>sankalp.g</t>
        </is>
      </c>
      <c r="B1637" t="inlineStr">
        <is>
          <t>Sankalp Gupta</t>
        </is>
      </c>
      <c r="C1637" t="inlineStr">
        <is>
          <t>sankalp.g@osmosys.co</t>
        </is>
      </c>
      <c r="D1637" t="inlineStr">
        <is>
          <t>tp</t>
        </is>
      </c>
      <c r="E1637">
        <f>HYPERLINK("http://gitlab.osmosys.co/tp/tp360", "TP360")</f>
        <v/>
      </c>
      <c r="F1637">
        <f>HYPERLINK("http://gitlab.osmosys.co/tp/tp360/-/merge_requests/2965", "Dev : Add corelogic button in documents popup")</f>
        <v/>
      </c>
      <c r="G1637" t="inlineStr">
        <is>
          <t>cherry-pick-8717152c</t>
        </is>
      </c>
      <c r="H1637" t="inlineStr">
        <is>
          <t>Staging_Development</t>
        </is>
      </c>
      <c r="I1637" t="inlineStr">
        <is>
          <t>merged</t>
        </is>
      </c>
      <c r="J1637" t="inlineStr"/>
      <c r="K1637" t="inlineStr"/>
      <c r="L1637" t="inlineStr"/>
      <c r="M1637" t="inlineStr"/>
      <c r="N1637" t="inlineStr"/>
      <c r="O1637" t="inlineStr"/>
      <c r="P1637" t="inlineStr"/>
      <c r="Q1637" t="inlineStr"/>
    </row>
    <row r="1638">
      <c r="A1638" t="inlineStr">
        <is>
          <t>sankalp.g</t>
        </is>
      </c>
      <c r="B1638" t="inlineStr">
        <is>
          <t>Sankalp Gupta</t>
        </is>
      </c>
      <c r="C1638" t="inlineStr">
        <is>
          <t>sankalp.g@osmosys.co</t>
        </is>
      </c>
      <c r="D1638" t="inlineStr">
        <is>
          <t>tp</t>
        </is>
      </c>
      <c r="E1638">
        <f>HYPERLINK("http://gitlab.osmosys.co/tp/tp360", "TP360")</f>
        <v/>
      </c>
      <c r="F1638">
        <f>HYPERLINK("http://gitlab.osmosys.co/tp/tp360/-/merge_requests/2964", "17640 : Redesign agent note and add issue list into it")</f>
        <v/>
      </c>
      <c r="G1638" t="inlineStr">
        <is>
          <t>cherry-pick-2a01e734</t>
        </is>
      </c>
      <c r="H1638" t="inlineStr">
        <is>
          <t>Staging_Development</t>
        </is>
      </c>
      <c r="I1638" t="inlineStr">
        <is>
          <t>merged</t>
        </is>
      </c>
      <c r="J1638" t="inlineStr"/>
      <c r="K1638" t="inlineStr"/>
      <c r="L1638" t="inlineStr"/>
      <c r="M1638" t="inlineStr"/>
      <c r="N1638" t="inlineStr"/>
      <c r="O1638" t="inlineStr"/>
      <c r="P1638" t="inlineStr"/>
      <c r="Q1638" t="inlineStr"/>
    </row>
    <row r="1639">
      <c r="A1639" t="inlineStr">
        <is>
          <t>sankalp.g</t>
        </is>
      </c>
      <c r="B1639" t="inlineStr">
        <is>
          <t>Sankalp Gupta</t>
        </is>
      </c>
      <c r="C1639" t="inlineStr">
        <is>
          <t>sankalp.g@osmosys.co</t>
        </is>
      </c>
      <c r="D1639" t="inlineStr">
        <is>
          <t>tp</t>
        </is>
      </c>
      <c r="E1639">
        <f>HYPERLINK("http://gitlab.osmosys.co/tp/tp360", "TP360")</f>
        <v/>
      </c>
      <c r="F1639">
        <f>HYPERLINK("http://gitlab.osmosys.co/tp/tp360/-/merge_requests/2961", "Hot-fix : Revert the second charge change")</f>
        <v/>
      </c>
      <c r="G1639" t="inlineStr">
        <is>
          <t>dev/revert-second-charge</t>
        </is>
      </c>
      <c r="H1639" t="inlineStr">
        <is>
          <t>Staging_Development</t>
        </is>
      </c>
      <c r="I1639" t="inlineStr">
        <is>
          <t>merged</t>
        </is>
      </c>
      <c r="J1639" t="inlineStr"/>
      <c r="K1639" t="inlineStr"/>
      <c r="L1639" t="inlineStr"/>
      <c r="M1639" t="inlineStr"/>
      <c r="N1639" t="inlineStr"/>
      <c r="O1639" t="inlineStr"/>
      <c r="P1639" t="inlineStr"/>
      <c r="Q1639" t="inlineStr"/>
    </row>
    <row r="1640">
      <c r="A1640" t="inlineStr">
        <is>
          <t>sankalp.g</t>
        </is>
      </c>
      <c r="B1640" t="inlineStr">
        <is>
          <t>Sankalp Gupta</t>
        </is>
      </c>
      <c r="C1640" t="inlineStr">
        <is>
          <t>sankalp.g@osmosys.co</t>
        </is>
      </c>
      <c r="D1640" t="inlineStr">
        <is>
          <t>tp</t>
        </is>
      </c>
      <c r="E1640">
        <f>HYPERLINK("http://gitlab.osmosys.co/tp/tp360", "TP360")</f>
        <v/>
      </c>
      <c r="F1640">
        <f>HYPERLINK("http://gitlab.osmosys.co/tp/tp360/-/merge_requests/2955", "17640 : Redesign agent note and add issue list into it")</f>
        <v/>
      </c>
      <c r="G1640" t="inlineStr">
        <is>
          <t>dev/reloshare-agent-note</t>
        </is>
      </c>
      <c r="H1640" t="inlineStr">
        <is>
          <t>PreTest_Development</t>
        </is>
      </c>
      <c r="I1640" t="inlineStr">
        <is>
          <t>merged</t>
        </is>
      </c>
      <c r="J1640" t="inlineStr"/>
      <c r="K1640" t="inlineStr"/>
      <c r="L1640" t="inlineStr"/>
      <c r="M1640" t="inlineStr"/>
      <c r="N1640" t="inlineStr"/>
      <c r="O1640" t="inlineStr"/>
      <c r="P1640" t="inlineStr"/>
      <c r="Q1640" t="inlineStr"/>
    </row>
    <row r="1641">
      <c r="A1641" t="inlineStr">
        <is>
          <t>sankalp.g</t>
        </is>
      </c>
      <c r="B1641" t="inlineStr">
        <is>
          <t>Sankalp Gupta</t>
        </is>
      </c>
      <c r="C1641" t="inlineStr">
        <is>
          <t>sankalp.g@osmosys.co</t>
        </is>
      </c>
      <c r="D1641" t="inlineStr">
        <is>
          <t>tp</t>
        </is>
      </c>
      <c r="E1641">
        <f>HYPERLINK("http://gitlab.osmosys.co/tp/tp360", "TP360")</f>
        <v/>
      </c>
      <c r="F1641">
        <f>HYPERLINK("http://gitlab.osmosys.co/tp/tp360/-/merge_requests/2953", "Issue : Add hotel charge id in the save payload")</f>
        <v/>
      </c>
      <c r="G1641" t="inlineStr">
        <is>
          <t>issue/add-hotel-charge-id</t>
        </is>
      </c>
      <c r="H1641" t="inlineStr">
        <is>
          <t>Staging_Development</t>
        </is>
      </c>
      <c r="I1641" t="inlineStr">
        <is>
          <t>merged</t>
        </is>
      </c>
      <c r="J1641" t="inlineStr"/>
      <c r="K1641" t="inlineStr"/>
      <c r="L1641" t="inlineStr"/>
      <c r="M1641" t="inlineStr"/>
      <c r="N1641" t="inlineStr"/>
      <c r="O1641" t="inlineStr"/>
      <c r="P1641" t="inlineStr"/>
      <c r="Q1641" t="inlineStr"/>
    </row>
    <row r="1642">
      <c r="A1642" t="inlineStr">
        <is>
          <t>sankalp.g</t>
        </is>
      </c>
      <c r="B1642" t="inlineStr">
        <is>
          <t>Sankalp Gupta</t>
        </is>
      </c>
      <c r="C1642" t="inlineStr">
        <is>
          <t>sankalp.g@osmosys.co</t>
        </is>
      </c>
      <c r="D1642" t="inlineStr">
        <is>
          <t>tp</t>
        </is>
      </c>
      <c r="E1642">
        <f>HYPERLINK("http://gitlab.osmosys.co/tp/tp360", "TP360")</f>
        <v/>
      </c>
      <c r="F1642">
        <f>HYPERLINK("http://gitlab.osmosys.co/tp/tp360/-/merge_requests/2944", "Issue : Fix start date and end date not going for deposit charges")</f>
        <v/>
      </c>
      <c r="G1642" t="inlineStr">
        <is>
          <t>issue/start-end-date-referral-charges</t>
        </is>
      </c>
      <c r="H1642" t="inlineStr">
        <is>
          <t>PreTest_Development</t>
        </is>
      </c>
      <c r="I1642" t="inlineStr">
        <is>
          <t>closed</t>
        </is>
      </c>
      <c r="J1642" t="inlineStr"/>
      <c r="K1642" t="inlineStr"/>
      <c r="L1642" t="inlineStr"/>
      <c r="M1642" t="inlineStr"/>
      <c r="N1642" t="inlineStr"/>
      <c r="O1642" t="inlineStr"/>
      <c r="P1642" t="inlineStr"/>
      <c r="Q1642" t="inlineStr"/>
    </row>
    <row r="1643">
      <c r="A1643" t="inlineStr">
        <is>
          <t>sankalp.g</t>
        </is>
      </c>
      <c r="B1643" t="inlineStr">
        <is>
          <t>Sankalp Gupta</t>
        </is>
      </c>
      <c r="C1643" t="inlineStr">
        <is>
          <t>sankalp.g@osmosys.co</t>
        </is>
      </c>
      <c r="D1643" t="inlineStr">
        <is>
          <t>tp</t>
        </is>
      </c>
      <c r="E1643">
        <f>HYPERLINK("http://gitlab.osmosys.co/tp/tp360", "TP360")</f>
        <v/>
      </c>
      <c r="F1643">
        <f>HYPERLINK("http://gitlab.osmosys.co/tp/tp360/-/merge_requests/2923", "16350 : Add blank option in gsm dropdown in housing pending worksheet")</f>
        <v/>
      </c>
      <c r="G1643" t="inlineStr">
        <is>
          <t>dev/add-blank-option-gsm-dropdown</t>
        </is>
      </c>
      <c r="H1643" t="inlineStr">
        <is>
          <t>PreTest_Development</t>
        </is>
      </c>
      <c r="I1643" t="inlineStr">
        <is>
          <t>merged</t>
        </is>
      </c>
      <c r="J1643" t="inlineStr"/>
      <c r="K1643" t="inlineStr"/>
      <c r="L1643" t="inlineStr"/>
      <c r="M1643" t="inlineStr"/>
      <c r="N1643" t="inlineStr"/>
      <c r="O1643" t="inlineStr"/>
      <c r="P1643" t="inlineStr"/>
      <c r="Q1643" t="inlineStr"/>
    </row>
    <row r="1644">
      <c r="A1644" t="inlineStr">
        <is>
          <t>sankalp.g</t>
        </is>
      </c>
      <c r="B1644" t="inlineStr">
        <is>
          <t>Sankalp Gupta</t>
        </is>
      </c>
      <c r="C1644" t="inlineStr">
        <is>
          <t>sankalp.g@osmosys.co</t>
        </is>
      </c>
      <c r="D1644" t="inlineStr">
        <is>
          <t>tp</t>
        </is>
      </c>
      <c r="E1644">
        <f>HYPERLINK("http://gitlab.osmosys.co/tp/tp360", "TP360")</f>
        <v/>
      </c>
      <c r="F1644">
        <f>HYPERLINK("http://gitlab.osmosys.co/tp/tp360/-/merge_requests/2921", "8757 : Restrict the calculation for the thd fee for USAA company")</f>
        <v/>
      </c>
      <c r="G1644" t="inlineStr">
        <is>
          <t>issue/restrict-calculation-USAA</t>
        </is>
      </c>
      <c r="H1644" t="inlineStr">
        <is>
          <t>PreTest_Development</t>
        </is>
      </c>
      <c r="I1644" t="inlineStr">
        <is>
          <t>merged</t>
        </is>
      </c>
      <c r="J1644" t="inlineStr"/>
      <c r="K1644" t="inlineStr"/>
      <c r="L1644" t="inlineStr"/>
      <c r="M1644" t="inlineStr"/>
      <c r="N1644" t="inlineStr"/>
      <c r="O1644" t="inlineStr"/>
      <c r="P1644" t="inlineStr"/>
      <c r="Q1644" t="inlineStr"/>
    </row>
    <row r="1645">
      <c r="A1645" t="inlineStr">
        <is>
          <t>sankalp.g</t>
        </is>
      </c>
      <c r="B1645" t="inlineStr">
        <is>
          <t>Sankalp Gupta</t>
        </is>
      </c>
      <c r="C1645" t="inlineStr">
        <is>
          <t>sankalp.g@osmosys.co</t>
        </is>
      </c>
      <c r="D1645" t="inlineStr">
        <is>
          <t>tp</t>
        </is>
      </c>
      <c r="E1645">
        <f>HYPERLINK("http://gitlab.osmosys.co/tp/tp360", "TP360")</f>
        <v/>
      </c>
      <c r="F1645">
        <f>HYPERLINK("http://gitlab.osmosys.co/tp/tp360/-/merge_requests/2915", "8757 : Calculate the thd and clarcity fee on daily rates")</f>
        <v/>
      </c>
      <c r="G1645" t="inlineStr">
        <is>
          <t>dev/calculate-thd-clarcity-daily-rates</t>
        </is>
      </c>
      <c r="H1645" t="inlineStr">
        <is>
          <t>Staging_Development</t>
        </is>
      </c>
      <c r="I1645" t="inlineStr">
        <is>
          <t>merged</t>
        </is>
      </c>
      <c r="J1645" t="inlineStr"/>
      <c r="K1645" t="inlineStr"/>
      <c r="L1645" t="inlineStr"/>
      <c r="M1645" t="inlineStr"/>
      <c r="N1645" t="inlineStr"/>
      <c r="O1645" t="inlineStr"/>
      <c r="P1645" t="inlineStr"/>
      <c r="Q1645" t="inlineStr"/>
    </row>
    <row r="1646">
      <c r="A1646" t="inlineStr">
        <is>
          <t>sankalp.g</t>
        </is>
      </c>
      <c r="B1646" t="inlineStr">
        <is>
          <t>Sankalp Gupta</t>
        </is>
      </c>
      <c r="C1646" t="inlineStr">
        <is>
          <t>sankalp.g@osmosys.co</t>
        </is>
      </c>
      <c r="D1646" t="inlineStr">
        <is>
          <t>tp</t>
        </is>
      </c>
      <c r="E1646">
        <f>HYPERLINK("http://gitlab.osmosys.co/tp/tp360", "TP360")</f>
        <v/>
      </c>
      <c r="F1646">
        <f>HYPERLINK("http://gitlab.osmosys.co/tp/tp360/-/merge_requests/2913", "11794 : Send params whether the thd or clarcity fee is edited")</f>
        <v/>
      </c>
      <c r="G1646" t="inlineStr">
        <is>
          <t>dev/thd-clarcity-calculation</t>
        </is>
      </c>
      <c r="H1646" t="inlineStr">
        <is>
          <t>PreTest_Development</t>
        </is>
      </c>
      <c r="I1646" t="inlineStr">
        <is>
          <t>merged</t>
        </is>
      </c>
      <c r="J1646" t="inlineStr"/>
      <c r="K1646" t="inlineStr"/>
      <c r="L1646" t="inlineStr"/>
      <c r="M1646" t="inlineStr"/>
      <c r="N1646" t="inlineStr"/>
      <c r="O1646" t="inlineStr"/>
      <c r="P1646" t="inlineStr"/>
      <c r="Q1646" t="inlineStr"/>
    </row>
    <row r="1647">
      <c r="A1647" t="inlineStr">
        <is>
          <t>sankalp.g</t>
        </is>
      </c>
      <c r="B1647" t="inlineStr">
        <is>
          <t>Sankalp Gupta</t>
        </is>
      </c>
      <c r="C1647" t="inlineStr">
        <is>
          <t>sankalp.g@osmosys.co</t>
        </is>
      </c>
      <c r="D1647" t="inlineStr">
        <is>
          <t>tp</t>
        </is>
      </c>
      <c r="E1647">
        <f>HYPERLINK("http://gitlab.osmosys.co/tp/tp360", "TP360")</f>
        <v/>
      </c>
      <c r="F1647">
        <f>HYPERLINK("http://gitlab.osmosys.co/tp/tp360/-/merge_requests/2904", "Issue : Comment all the throw new error code with 'failed to load' text")</f>
        <v/>
      </c>
      <c r="G1647" t="inlineStr">
        <is>
          <t>dev/comment-throw-new-error</t>
        </is>
      </c>
      <c r="H1647" t="inlineStr">
        <is>
          <t>PreTest_Development</t>
        </is>
      </c>
      <c r="I1647" t="inlineStr">
        <is>
          <t>merged</t>
        </is>
      </c>
      <c r="J1647" t="inlineStr"/>
      <c r="K1647" t="inlineStr"/>
      <c r="L1647" t="inlineStr"/>
      <c r="M1647" t="inlineStr"/>
      <c r="N1647" t="inlineStr"/>
      <c r="O1647" t="inlineStr"/>
      <c r="P1647" t="inlineStr"/>
      <c r="Q1647" t="inlineStr"/>
    </row>
    <row r="1648">
      <c r="A1648" t="inlineStr">
        <is>
          <t>sankalp.g</t>
        </is>
      </c>
      <c r="B1648" t="inlineStr">
        <is>
          <t>Sankalp Gupta</t>
        </is>
      </c>
      <c r="C1648" t="inlineStr">
        <is>
          <t>sankalp.g@osmosys.co</t>
        </is>
      </c>
      <c r="D1648" t="inlineStr">
        <is>
          <t>tp</t>
        </is>
      </c>
      <c r="E1648">
        <f>HYPERLINK("http://gitlab.osmosys.co/tp/tp360", "TP360")</f>
        <v/>
      </c>
      <c r="F1648">
        <f>HYPERLINK("http://gitlab.osmosys.co/tp/tp360/-/merge_requests/2885", "Dev : Add corelogic button in documents popup")</f>
        <v/>
      </c>
      <c r="G1648" t="inlineStr">
        <is>
          <t>dev/add-corelogic-button-documents</t>
        </is>
      </c>
      <c r="H1648" t="inlineStr">
        <is>
          <t>PreTest_Development</t>
        </is>
      </c>
      <c r="I1648" t="inlineStr">
        <is>
          <t>merged</t>
        </is>
      </c>
      <c r="J1648" t="inlineStr"/>
      <c r="K1648" t="inlineStr"/>
      <c r="L1648" t="inlineStr"/>
      <c r="M1648" t="inlineStr"/>
      <c r="N1648" t="inlineStr"/>
      <c r="O1648" t="inlineStr"/>
      <c r="P1648" t="inlineStr"/>
      <c r="Q1648" t="inlineStr"/>
    </row>
    <row r="1649">
      <c r="A1649" t="inlineStr">
        <is>
          <t>sankalp.g</t>
        </is>
      </c>
      <c r="B1649" t="inlineStr">
        <is>
          <t>Sankalp Gupta</t>
        </is>
      </c>
      <c r="C1649" t="inlineStr">
        <is>
          <t>sankalp.g@osmosys.co</t>
        </is>
      </c>
      <c r="D1649" t="inlineStr">
        <is>
          <t>tp</t>
        </is>
      </c>
      <c r="E1649">
        <f>HYPERLINK("http://gitlab.osmosys.co/tp/tp360", "TP360")</f>
        <v/>
      </c>
      <c r="F1649">
        <f>HYPERLINK("http://gitlab.osmosys.co/tp/tp360/-/merge_requests/2884", "16348 : Add mi columns in alt worksheet")</f>
        <v/>
      </c>
      <c r="G1649" t="inlineStr">
        <is>
          <t>dev/add-mi-columns-alt-worksheet</t>
        </is>
      </c>
      <c r="H1649" t="inlineStr">
        <is>
          <t>PreTest_Development</t>
        </is>
      </c>
      <c r="I1649" t="inlineStr">
        <is>
          <t>merged</t>
        </is>
      </c>
      <c r="J1649" t="inlineStr"/>
      <c r="K1649" t="inlineStr"/>
      <c r="L1649" t="inlineStr"/>
      <c r="M1649" t="inlineStr"/>
      <c r="N1649" t="inlineStr"/>
      <c r="O1649" t="inlineStr"/>
      <c r="P1649" t="inlineStr"/>
      <c r="Q1649" t="inlineStr"/>
    </row>
    <row r="1650">
      <c r="A1650" t="inlineStr">
        <is>
          <t>sakshi.s</t>
        </is>
      </c>
      <c r="B1650" t="inlineStr">
        <is>
          <t>Sakshi Saxena</t>
        </is>
      </c>
      <c r="C1650" t="inlineStr">
        <is>
          <t>sakshi.s@osmosys.co</t>
        </is>
      </c>
      <c r="D1650" t="inlineStr">
        <is>
          <t>tp</t>
        </is>
      </c>
      <c r="E1650">
        <f>HYPERLINK("http://gitlab.osmosys.co/tp/tp360", "TP360")</f>
        <v/>
      </c>
      <c r="F1650">
        <f>HYPERLINK("http://gitlab.osmosys.co/tp/tp360/-/merge_requests/3100", "Update report id for mimo")</f>
        <v/>
      </c>
      <c r="G1650" t="inlineStr">
        <is>
          <t>dev/change-report-id</t>
        </is>
      </c>
      <c r="H1650" t="inlineStr">
        <is>
          <t>Staging_Development</t>
        </is>
      </c>
      <c r="I1650" t="inlineStr">
        <is>
          <t>merged</t>
        </is>
      </c>
      <c r="J1650" t="inlineStr"/>
      <c r="K1650" t="inlineStr"/>
      <c r="L1650" t="inlineStr"/>
      <c r="M1650" t="inlineStr"/>
      <c r="N1650" t="inlineStr"/>
      <c r="O1650" t="inlineStr"/>
      <c r="P1650" t="inlineStr"/>
      <c r="Q1650" t="inlineStr"/>
    </row>
    <row r="1651">
      <c r="A1651" t="inlineStr">
        <is>
          <t>sakshi.s</t>
        </is>
      </c>
      <c r="B1651" t="inlineStr">
        <is>
          <t>Sakshi Saxena</t>
        </is>
      </c>
      <c r="C1651" t="inlineStr">
        <is>
          <t>sakshi.s@osmosys.co</t>
        </is>
      </c>
      <c r="D1651" t="inlineStr">
        <is>
          <t>tp</t>
        </is>
      </c>
      <c r="E1651">
        <f>HYPERLINK("http://gitlab.osmosys.co/tp/tp360", "TP360")</f>
        <v/>
      </c>
      <c r="F1651">
        <f>HYPERLINK("http://gitlab.osmosys.co/tp/tp360/-/merge_requests/3092", "Fix toastr for third party data-entry")</f>
        <v/>
      </c>
      <c r="G1651" t="inlineStr">
        <is>
          <t>issue/toastr-third-party</t>
        </is>
      </c>
      <c r="H1651" t="inlineStr">
        <is>
          <t>PreTest_Development</t>
        </is>
      </c>
      <c r="I1651" t="inlineStr">
        <is>
          <t>opened</t>
        </is>
      </c>
      <c r="J1651" t="inlineStr"/>
      <c r="K1651" t="inlineStr"/>
      <c r="L1651" t="inlineStr"/>
      <c r="M1651" t="inlineStr"/>
      <c r="N1651" t="inlineStr"/>
      <c r="O1651" t="inlineStr"/>
      <c r="P1651" t="inlineStr"/>
      <c r="Q1651" t="inlineStr"/>
    </row>
    <row r="1652">
      <c r="A1652" t="inlineStr">
        <is>
          <t>sakshi.s</t>
        </is>
      </c>
      <c r="B1652" t="inlineStr">
        <is>
          <t>Sakshi Saxena</t>
        </is>
      </c>
      <c r="C1652" t="inlineStr">
        <is>
          <t>sakshi.s@osmosys.co</t>
        </is>
      </c>
      <c r="D1652" t="inlineStr">
        <is>
          <t>tp</t>
        </is>
      </c>
      <c r="E1652">
        <f>HYPERLINK("http://gitlab.osmosys.co/tp/tp360", "TP360")</f>
        <v/>
      </c>
      <c r="F1652">
        <f>HYPERLINK("http://gitlab.osmosys.co/tp/tp360/-/merge_requests/3077", "Dev: Add toastr message for all required fields according to there priority in referral , guest and data entry.")</f>
        <v/>
      </c>
      <c r="G1652" t="inlineStr">
        <is>
          <t>dev/toastr-required-test</t>
        </is>
      </c>
      <c r="H1652" t="inlineStr">
        <is>
          <t>Staging_Development</t>
        </is>
      </c>
      <c r="I1652" t="inlineStr">
        <is>
          <t>opened</t>
        </is>
      </c>
      <c r="J1652" t="inlineStr"/>
      <c r="K1652" t="inlineStr"/>
      <c r="L1652" t="inlineStr"/>
      <c r="M1652" t="inlineStr"/>
      <c r="N1652" t="inlineStr"/>
      <c r="O1652" t="inlineStr"/>
      <c r="P1652" t="inlineStr"/>
      <c r="Q1652" t="inlineStr"/>
    </row>
    <row r="1653">
      <c r="A1653" t="inlineStr">
        <is>
          <t>sakshi.s</t>
        </is>
      </c>
      <c r="B1653" t="inlineStr">
        <is>
          <t>Sakshi Saxena</t>
        </is>
      </c>
      <c r="C1653" t="inlineStr">
        <is>
          <t>sakshi.s@osmosys.co</t>
        </is>
      </c>
      <c r="D1653" t="inlineStr">
        <is>
          <t>tp</t>
        </is>
      </c>
      <c r="E1653">
        <f>HYPERLINK("http://gitlab.osmosys.co/tp/tp360", "TP360")</f>
        <v/>
      </c>
      <c r="F1653">
        <f>HYPERLINK("http://gitlab.osmosys.co/tp/tp360/-/merge_requests/3064", "Issue: Fix incorrect originalEOA date populating on UI data-entry")</f>
        <v/>
      </c>
      <c r="G1653" t="inlineStr">
        <is>
          <t>issue/originalEOA</t>
        </is>
      </c>
      <c r="H1653" t="inlineStr">
        <is>
          <t>PreTest_Development</t>
        </is>
      </c>
      <c r="I1653" t="inlineStr">
        <is>
          <t>merged</t>
        </is>
      </c>
      <c r="J1653" t="inlineStr"/>
      <c r="K1653" t="inlineStr"/>
      <c r="L1653" t="inlineStr"/>
      <c r="M1653" t="inlineStr"/>
      <c r="N1653" t="inlineStr"/>
      <c r="O1653" t="inlineStr"/>
      <c r="P1653" t="inlineStr"/>
      <c r="Q1653" t="inlineStr"/>
    </row>
    <row r="1654">
      <c r="A1654" t="inlineStr">
        <is>
          <t>sakshi.s</t>
        </is>
      </c>
      <c r="B1654" t="inlineStr">
        <is>
          <t>Sakshi Saxena</t>
        </is>
      </c>
      <c r="C1654" t="inlineStr">
        <is>
          <t>sakshi.s@osmosys.co</t>
        </is>
      </c>
      <c r="D1654" t="inlineStr">
        <is>
          <t>tp</t>
        </is>
      </c>
      <c r="E1654">
        <f>HYPERLINK("http://gitlab.osmosys.co/tp/tp360", "TP360")</f>
        <v/>
      </c>
      <c r="F1654">
        <f>HYPERLINK("http://gitlab.osmosys.co/tp/tp360/-/merge_requests/3063", "18397: Make Renter red if checked in data-entry")</f>
        <v/>
      </c>
      <c r="G1654" t="inlineStr">
        <is>
          <t>dev/renter-red</t>
        </is>
      </c>
      <c r="H1654" t="inlineStr">
        <is>
          <t>PreTest_Development</t>
        </is>
      </c>
      <c r="I1654" t="inlineStr">
        <is>
          <t>opened</t>
        </is>
      </c>
      <c r="J1654" t="inlineStr"/>
      <c r="K1654" t="inlineStr"/>
      <c r="L1654" t="inlineStr"/>
      <c r="M1654" t="inlineStr"/>
      <c r="N1654" t="inlineStr"/>
      <c r="O1654" t="inlineStr"/>
      <c r="P1654" t="inlineStr"/>
      <c r="Q1654" t="inlineStr"/>
    </row>
    <row r="1655">
      <c r="A1655" t="inlineStr">
        <is>
          <t>sakshi.s</t>
        </is>
      </c>
      <c r="B1655" t="inlineStr">
        <is>
          <t>Sakshi Saxena</t>
        </is>
      </c>
      <c r="C1655" t="inlineStr">
        <is>
          <t>sakshi.s@osmosys.co</t>
        </is>
      </c>
      <c r="D1655" t="inlineStr">
        <is>
          <t>tp</t>
        </is>
      </c>
      <c r="E1655">
        <f>HYPERLINK("http://gitlab.osmosys.co/tp/tp360", "TP360")</f>
        <v/>
      </c>
      <c r="F1655">
        <f>HYPERLINK("http://gitlab.osmosys.co/tp/tp360/-/merge_requests/3060", "Issue: Remove formatPhone from email id details block data-entry")</f>
        <v/>
      </c>
      <c r="G1655" t="inlineStr">
        <is>
          <t>issue/format-fix</t>
        </is>
      </c>
      <c r="H1655" t="inlineStr">
        <is>
          <t>PreTest_Development</t>
        </is>
      </c>
      <c r="I1655" t="inlineStr">
        <is>
          <t>merged</t>
        </is>
      </c>
      <c r="J1655" t="inlineStr"/>
      <c r="K1655" t="inlineStr"/>
      <c r="L1655" t="inlineStr"/>
      <c r="M1655" t="inlineStr"/>
      <c r="N1655" t="inlineStr"/>
      <c r="O1655" t="inlineStr"/>
      <c r="P1655" t="inlineStr"/>
      <c r="Q1655" t="inlineStr"/>
    </row>
    <row r="1656">
      <c r="A1656" t="inlineStr">
        <is>
          <t>sakshi.s</t>
        </is>
      </c>
      <c r="B1656" t="inlineStr">
        <is>
          <t>Sakshi Saxena</t>
        </is>
      </c>
      <c r="C1656" t="inlineStr">
        <is>
          <t>sakshi.s@osmosys.co</t>
        </is>
      </c>
      <c r="D1656" t="inlineStr">
        <is>
          <t>tp</t>
        </is>
      </c>
      <c r="E1656">
        <f>HYPERLINK("http://gitlab.osmosys.co/tp/tp360", "TP360")</f>
        <v/>
      </c>
      <c r="F1656">
        <f>HYPERLINK("http://gitlab.osmosys.co/tp/tp360/-/merge_requests/3059", "Issue: Fix check req block alignment and hide few columns")</f>
        <v/>
      </c>
      <c r="G1656" t="inlineStr">
        <is>
          <t>issue/check-req-test</t>
        </is>
      </c>
      <c r="H1656" t="inlineStr">
        <is>
          <t>Staging_Development</t>
        </is>
      </c>
      <c r="I1656" t="inlineStr">
        <is>
          <t>merged</t>
        </is>
      </c>
      <c r="J1656" t="inlineStr"/>
      <c r="K1656" t="inlineStr"/>
      <c r="L1656" t="inlineStr"/>
      <c r="M1656" t="inlineStr"/>
      <c r="N1656" t="inlineStr"/>
      <c r="O1656" t="inlineStr"/>
      <c r="P1656" t="inlineStr"/>
      <c r="Q1656" t="inlineStr"/>
    </row>
    <row r="1657">
      <c r="A1657" t="inlineStr">
        <is>
          <t>sakshi.s</t>
        </is>
      </c>
      <c r="B1657" t="inlineStr">
        <is>
          <t>Sakshi Saxena</t>
        </is>
      </c>
      <c r="C1657" t="inlineStr">
        <is>
          <t>sakshi.s@osmosys.co</t>
        </is>
      </c>
      <c r="D1657" t="inlineStr">
        <is>
          <t>tp</t>
        </is>
      </c>
      <c r="E1657">
        <f>HYPERLINK("http://gitlab.osmosys.co/tp/tp360", "TP360")</f>
        <v/>
      </c>
      <c r="F1657">
        <f>HYPERLINK("http://gitlab.osmosys.co/tp/tp360/-/merge_requests/3055", "Issue: Fix sort arrows not visible on the grid while sorting in furniture worksheet")</f>
        <v/>
      </c>
      <c r="G1657" t="inlineStr">
        <is>
          <t>issue/furniture-sort-arrow</t>
        </is>
      </c>
      <c r="H1657" t="inlineStr">
        <is>
          <t>PreTest_Development</t>
        </is>
      </c>
      <c r="I1657" t="inlineStr">
        <is>
          <t>merged</t>
        </is>
      </c>
      <c r="J1657" t="inlineStr"/>
      <c r="K1657" t="inlineStr"/>
      <c r="L1657" t="inlineStr"/>
      <c r="M1657" t="inlineStr"/>
      <c r="N1657" t="inlineStr"/>
      <c r="O1657" t="inlineStr"/>
      <c r="P1657" t="inlineStr"/>
      <c r="Q1657" t="inlineStr"/>
    </row>
    <row r="1658">
      <c r="A1658" t="inlineStr">
        <is>
          <t>sakshi.s</t>
        </is>
      </c>
      <c r="B1658" t="inlineStr">
        <is>
          <t>Sakshi Saxena</t>
        </is>
      </c>
      <c r="C1658" t="inlineStr">
        <is>
          <t>sakshi.s@osmosys.co</t>
        </is>
      </c>
      <c r="D1658" t="inlineStr">
        <is>
          <t>tp</t>
        </is>
      </c>
      <c r="E1658">
        <f>HYPERLINK("http://gitlab.osmosys.co/tp/tp360", "TP360")</f>
        <v/>
      </c>
      <c r="F1658">
        <f>HYPERLINK("http://gitlab.osmosys.co/tp/tp360/-/merge_requests/3053", "Issue: Fix alignment in check request block data-entry")</f>
        <v/>
      </c>
      <c r="G1658" t="inlineStr">
        <is>
          <t>issue/align-check-req</t>
        </is>
      </c>
      <c r="H1658" t="inlineStr">
        <is>
          <t>PreTest_Development</t>
        </is>
      </c>
      <c r="I1658" t="inlineStr">
        <is>
          <t>merged</t>
        </is>
      </c>
      <c r="J1658" t="inlineStr"/>
      <c r="K1658" t="inlineStr"/>
      <c r="L1658" t="inlineStr"/>
      <c r="M1658" t="inlineStr"/>
      <c r="N1658" t="inlineStr"/>
      <c r="O1658" t="inlineStr"/>
      <c r="P1658" t="inlineStr"/>
      <c r="Q1658" t="inlineStr"/>
    </row>
    <row r="1659">
      <c r="A1659" t="inlineStr">
        <is>
          <t>sakshi.s</t>
        </is>
      </c>
      <c r="B1659" t="inlineStr">
        <is>
          <t>Sakshi Saxena</t>
        </is>
      </c>
      <c r="C1659" t="inlineStr">
        <is>
          <t>sakshi.s@osmosys.co</t>
        </is>
      </c>
      <c r="D1659" t="inlineStr">
        <is>
          <t>tp</t>
        </is>
      </c>
      <c r="E1659">
        <f>HYPERLINK("http://gitlab.osmosys.co/tp/tp360", "TP360")</f>
        <v/>
      </c>
      <c r="F1659">
        <f>HYPERLINK("http://gitlab.osmosys.co/tp/tp360/-/merge_requests/3050", "Issue: Fix console error while loading property management in guest side.")</f>
        <v/>
      </c>
      <c r="G1659" t="inlineStr">
        <is>
          <t>issue/management-loading</t>
        </is>
      </c>
      <c r="H1659" t="inlineStr">
        <is>
          <t>PreTest_Development</t>
        </is>
      </c>
      <c r="I1659" t="inlineStr">
        <is>
          <t>merged</t>
        </is>
      </c>
      <c r="J1659" t="inlineStr"/>
      <c r="K1659" t="inlineStr"/>
      <c r="L1659" t="inlineStr"/>
      <c r="M1659" t="inlineStr"/>
      <c r="N1659" t="inlineStr"/>
      <c r="O1659" t="inlineStr"/>
      <c r="P1659" t="inlineStr"/>
      <c r="Q1659" t="inlineStr"/>
    </row>
    <row r="1660">
      <c r="A1660" t="inlineStr">
        <is>
          <t>sakshi.s</t>
        </is>
      </c>
      <c r="B1660" t="inlineStr">
        <is>
          <t>Sakshi Saxena</t>
        </is>
      </c>
      <c r="C1660" t="inlineStr">
        <is>
          <t>sakshi.s@osmosys.co</t>
        </is>
      </c>
      <c r="D1660" t="inlineStr">
        <is>
          <t>tp</t>
        </is>
      </c>
      <c r="E1660">
        <f>HYPERLINK("http://gitlab.osmosys.co/tp/tp360", "TP360")</f>
        <v/>
      </c>
      <c r="F1660">
        <f>HYPERLINK("http://gitlab.osmosys.co/tp/tp360/-/merge_requests/3044", "Draft: Dev: Design 'Voucher and Adjustment' popup")</f>
        <v/>
      </c>
      <c r="G1660" t="inlineStr">
        <is>
          <t>dev/voucher-adjustment-popup</t>
        </is>
      </c>
      <c r="H1660" t="inlineStr">
        <is>
          <t>PreTest_Development</t>
        </is>
      </c>
      <c r="I1660" t="inlineStr">
        <is>
          <t>opened</t>
        </is>
      </c>
      <c r="J1660" t="inlineStr"/>
      <c r="K1660" t="inlineStr"/>
      <c r="L1660" t="inlineStr"/>
      <c r="M1660" t="inlineStr"/>
      <c r="N1660" t="inlineStr"/>
      <c r="O1660" t="inlineStr"/>
      <c r="P1660" t="inlineStr"/>
      <c r="Q1660" t="inlineStr"/>
    </row>
    <row r="1661">
      <c r="A1661" t="inlineStr">
        <is>
          <t>sakshi.s</t>
        </is>
      </c>
      <c r="B1661" t="inlineStr">
        <is>
          <t>Sakshi Saxena</t>
        </is>
      </c>
      <c r="C1661" t="inlineStr">
        <is>
          <t>sakshi.s@osmosys.co</t>
        </is>
      </c>
      <c r="D1661" t="inlineStr">
        <is>
          <t>tp</t>
        </is>
      </c>
      <c r="E1661">
        <f>HYPERLINK("http://gitlab.osmosys.co/tp/tp360", "TP360")</f>
        <v/>
      </c>
      <c r="F1661">
        <f>HYPERLINK("http://gitlab.osmosys.co/tp/tp360/-/merge_requests/3037", "Dev: Implement functionality for duplicate placement")</f>
        <v/>
      </c>
      <c r="G1661" t="inlineStr">
        <is>
          <t>dev/duplicate-placement</t>
        </is>
      </c>
      <c r="H1661" t="inlineStr">
        <is>
          <t>PreTest_Development</t>
        </is>
      </c>
      <c r="I1661" t="inlineStr">
        <is>
          <t>opened</t>
        </is>
      </c>
      <c r="J1661" t="inlineStr"/>
      <c r="K1661" t="inlineStr"/>
      <c r="L1661" t="inlineStr"/>
      <c r="M1661" t="inlineStr"/>
      <c r="N1661" t="inlineStr"/>
      <c r="O1661" t="inlineStr"/>
      <c r="P1661" t="inlineStr"/>
      <c r="Q1661" t="inlineStr"/>
    </row>
    <row r="1662">
      <c r="A1662" t="inlineStr">
        <is>
          <t>sakshi.s</t>
        </is>
      </c>
      <c r="B1662" t="inlineStr">
        <is>
          <t>Sakshi Saxena</t>
        </is>
      </c>
      <c r="C1662" t="inlineStr">
        <is>
          <t>sakshi.s@osmosys.co</t>
        </is>
      </c>
      <c r="D1662" t="inlineStr">
        <is>
          <t>tp</t>
        </is>
      </c>
      <c r="E1662">
        <f>HYPERLINK("http://gitlab.osmosys.co/tp/tp360", "TP360")</f>
        <v/>
      </c>
      <c r="F1662">
        <f>HYPERLINK("http://gitlab.osmosys.co/tp/tp360/-/merge_requests/3033", "Dev: Update phone number format")</f>
        <v/>
      </c>
      <c r="G1662" t="inlineStr">
        <is>
          <t>dev/contractor-phone-format</t>
        </is>
      </c>
      <c r="H1662" t="inlineStr">
        <is>
          <t>PreTest_Development</t>
        </is>
      </c>
      <c r="I1662" t="inlineStr">
        <is>
          <t>merged</t>
        </is>
      </c>
      <c r="J1662" t="inlineStr"/>
      <c r="K1662" t="inlineStr"/>
      <c r="L1662" t="inlineStr"/>
      <c r="M1662" t="inlineStr"/>
      <c r="N1662" t="inlineStr"/>
      <c r="O1662" t="inlineStr"/>
      <c r="P1662" t="inlineStr"/>
      <c r="Q1662" t="inlineStr"/>
    </row>
    <row r="1663">
      <c r="A1663" t="inlineStr">
        <is>
          <t>sakshi.s</t>
        </is>
      </c>
      <c r="B1663" t="inlineStr">
        <is>
          <t>Sakshi Saxena</t>
        </is>
      </c>
      <c r="C1663" t="inlineStr">
        <is>
          <t>sakshi.s@osmosys.co</t>
        </is>
      </c>
      <c r="D1663" t="inlineStr">
        <is>
          <t>tp</t>
        </is>
      </c>
      <c r="E1663">
        <f>HYPERLINK("http://gitlab.osmosys.co/tp/tp360", "TP360")</f>
        <v/>
      </c>
      <c r="F1663">
        <f>HYPERLINK("http://gitlab.osmosys.co/tp/tp360/-/merge_requests/3031", "Dev: Update Fax format in payload and form")</f>
        <v/>
      </c>
      <c r="G1663" t="inlineStr">
        <is>
          <t>dev/phone-number-format</t>
        </is>
      </c>
      <c r="H1663" t="inlineStr">
        <is>
          <t>PreTest_Development</t>
        </is>
      </c>
      <c r="I1663" t="inlineStr">
        <is>
          <t>merged</t>
        </is>
      </c>
      <c r="J1663" t="inlineStr"/>
      <c r="K1663" t="inlineStr"/>
      <c r="L1663" t="inlineStr"/>
      <c r="M1663" t="inlineStr"/>
      <c r="N1663" t="inlineStr"/>
      <c r="O1663" t="inlineStr"/>
      <c r="P1663" t="inlineStr"/>
      <c r="Q1663" t="inlineStr"/>
    </row>
    <row r="1664">
      <c r="A1664" t="inlineStr">
        <is>
          <t>sakshi.s</t>
        </is>
      </c>
      <c r="B1664" t="inlineStr">
        <is>
          <t>Sakshi Saxena</t>
        </is>
      </c>
      <c r="C1664" t="inlineStr">
        <is>
          <t>sakshi.s@osmosys.co</t>
        </is>
      </c>
      <c r="D1664" t="inlineStr">
        <is>
          <t>tp</t>
        </is>
      </c>
      <c r="E1664">
        <f>HYPERLINK("http://gitlab.osmosys.co/tp/tp360", "TP360")</f>
        <v/>
      </c>
      <c r="F1664">
        <f>HYPERLINK("http://gitlab.osmosys.co/tp/tp360/-/merge_requests/3018", "17110: Add new column 'Total to be Billed' in lease audit worksheet")</f>
        <v/>
      </c>
      <c r="G1664" t="inlineStr">
        <is>
          <t>dev/lease-audit-test</t>
        </is>
      </c>
      <c r="H1664" t="inlineStr">
        <is>
          <t>Staging_Development</t>
        </is>
      </c>
      <c r="I1664" t="inlineStr">
        <is>
          <t>merged</t>
        </is>
      </c>
      <c r="J1664" t="inlineStr"/>
      <c r="K1664" t="inlineStr"/>
      <c r="L1664" t="inlineStr"/>
      <c r="M1664" t="inlineStr"/>
      <c r="N1664" t="inlineStr"/>
      <c r="O1664" t="inlineStr"/>
      <c r="P1664" t="inlineStr"/>
      <c r="Q1664" t="inlineStr"/>
    </row>
    <row r="1665">
      <c r="A1665" t="inlineStr">
        <is>
          <t>sakshi.s</t>
        </is>
      </c>
      <c r="B1665" t="inlineStr">
        <is>
          <t>Sakshi Saxena</t>
        </is>
      </c>
      <c r="C1665" t="inlineStr">
        <is>
          <t>sakshi.s@osmosys.co</t>
        </is>
      </c>
      <c r="D1665" t="inlineStr">
        <is>
          <t>tp</t>
        </is>
      </c>
      <c r="E1665">
        <f>HYPERLINK("http://gitlab.osmosys.co/tp/tp360", "TP360")</f>
        <v/>
      </c>
      <c r="F1665">
        <f>HYPERLINK("http://gitlab.osmosys.co/tp/tp360/-/merge_requests/3013", "Draft: Dev: Implement functionality for duplicate placement")</f>
        <v/>
      </c>
      <c r="G1665" t="inlineStr">
        <is>
          <t>dev/duplicate-placement</t>
        </is>
      </c>
      <c r="H1665" t="inlineStr">
        <is>
          <t>PreTest_Development</t>
        </is>
      </c>
      <c r="I1665" t="inlineStr">
        <is>
          <t>closed</t>
        </is>
      </c>
      <c r="J1665" t="inlineStr"/>
      <c r="K1665" t="inlineStr"/>
      <c r="L1665" t="inlineStr"/>
      <c r="M1665" t="inlineStr"/>
      <c r="N1665" t="inlineStr"/>
      <c r="O1665" t="inlineStr"/>
      <c r="P1665" t="inlineStr"/>
      <c r="Q1665" t="inlineStr"/>
    </row>
    <row r="1666">
      <c r="A1666" t="inlineStr">
        <is>
          <t>sakshi.s</t>
        </is>
      </c>
      <c r="B1666" t="inlineStr">
        <is>
          <t>Sakshi Saxena</t>
        </is>
      </c>
      <c r="C1666" t="inlineStr">
        <is>
          <t>sakshi.s@osmosys.co</t>
        </is>
      </c>
      <c r="D1666" t="inlineStr">
        <is>
          <t>tp</t>
        </is>
      </c>
      <c r="E1666">
        <f>HYPERLINK("http://gitlab.osmosys.co/tp/tp360", "TP360")</f>
        <v/>
      </c>
      <c r="F1666">
        <f>HYPERLINK("http://gitlab.osmosys.co/tp/tp360/-/merge_requests/3003", "18398: Make Go Date as today's date by default while creating new stay")</f>
        <v/>
      </c>
      <c r="G1666" t="inlineStr">
        <is>
          <t>dev/godate-default</t>
        </is>
      </c>
      <c r="H1666" t="inlineStr">
        <is>
          <t>PreTest_Development</t>
        </is>
      </c>
      <c r="I1666" t="inlineStr">
        <is>
          <t>opened</t>
        </is>
      </c>
      <c r="J1666" t="inlineStr"/>
      <c r="K1666" t="inlineStr"/>
      <c r="L1666" t="inlineStr"/>
      <c r="M1666" t="inlineStr"/>
      <c r="N1666" t="inlineStr"/>
      <c r="O1666" t="inlineStr"/>
      <c r="P1666" t="inlineStr"/>
      <c r="Q1666" t="inlineStr"/>
    </row>
    <row r="1667">
      <c r="A1667" t="inlineStr">
        <is>
          <t>sakshi.s</t>
        </is>
      </c>
      <c r="B1667" t="inlineStr">
        <is>
          <t>Sakshi Saxena</t>
        </is>
      </c>
      <c r="C1667" t="inlineStr">
        <is>
          <t>sakshi.s@osmosys.co</t>
        </is>
      </c>
      <c r="D1667" t="inlineStr">
        <is>
          <t>tp</t>
        </is>
      </c>
      <c r="E1667">
        <f>HYPERLINK("http://gitlab.osmosys.co/tp/tp360", "TP360")</f>
        <v/>
      </c>
      <c r="F1667">
        <f>HYPERLINK("http://gitlab.osmosys.co/tp/tp360/-/merge_requests/2999", "Issue: Fix preferences and data not loading in ReloShare Hotel Worksheet")</f>
        <v/>
      </c>
      <c r="G1667" t="inlineStr">
        <is>
          <t>issue/reloshare-preferences</t>
        </is>
      </c>
      <c r="H1667" t="inlineStr">
        <is>
          <t>PreTest_Development</t>
        </is>
      </c>
      <c r="I1667" t="inlineStr">
        <is>
          <t>merged</t>
        </is>
      </c>
      <c r="J1667" t="inlineStr"/>
      <c r="K1667" t="inlineStr"/>
      <c r="L1667" t="inlineStr"/>
      <c r="M1667" t="inlineStr"/>
      <c r="N1667" t="inlineStr"/>
      <c r="O1667" t="inlineStr"/>
      <c r="P1667" t="inlineStr"/>
      <c r="Q1667" t="inlineStr"/>
    </row>
    <row r="1668">
      <c r="A1668" t="inlineStr">
        <is>
          <t>sakshi.s</t>
        </is>
      </c>
      <c r="B1668" t="inlineStr">
        <is>
          <t>Sakshi Saxena</t>
        </is>
      </c>
      <c r="C1668" t="inlineStr">
        <is>
          <t>sakshi.s@osmosys.co</t>
        </is>
      </c>
      <c r="D1668" t="inlineStr">
        <is>
          <t>tp</t>
        </is>
      </c>
      <c r="E1668">
        <f>HYPERLINK("http://gitlab.osmosys.co/tp/tp360", "TP360")</f>
        <v/>
      </c>
      <c r="F1668">
        <f>HYPERLINK("http://gitlab.osmosys.co/tp/tp360/-/merge_requests/2998", "17648: Add Peril Reason multiselect dropdown in CAT Claim Count Report")</f>
        <v/>
      </c>
      <c r="G1668" t="inlineStr">
        <is>
          <t>dev/dropdown-reports</t>
        </is>
      </c>
      <c r="H1668" t="inlineStr">
        <is>
          <t>PreTest_Development</t>
        </is>
      </c>
      <c r="I1668" t="inlineStr">
        <is>
          <t>merged</t>
        </is>
      </c>
      <c r="J1668" t="inlineStr"/>
      <c r="K1668" t="inlineStr"/>
      <c r="L1668" t="inlineStr"/>
      <c r="M1668" t="inlineStr"/>
      <c r="N1668" t="inlineStr"/>
      <c r="O1668" t="inlineStr"/>
      <c r="P1668" t="inlineStr"/>
      <c r="Q1668" t="inlineStr"/>
    </row>
    <row r="1669">
      <c r="A1669" t="inlineStr">
        <is>
          <t>sakshi.s</t>
        </is>
      </c>
      <c r="B1669" t="inlineStr">
        <is>
          <t>Sakshi Saxena</t>
        </is>
      </c>
      <c r="C1669" t="inlineStr">
        <is>
          <t>sakshi.s@osmosys.co</t>
        </is>
      </c>
      <c r="D1669" t="inlineStr">
        <is>
          <t>tp</t>
        </is>
      </c>
      <c r="E1669">
        <f>HYPERLINK("http://gitlab.osmosys.co/tp/tp360", "TP360")</f>
        <v/>
      </c>
      <c r="F1669">
        <f>HYPERLINK("http://gitlab.osmosys.co/tp/tp360/-/merge_requests/2993", "18397: Add 'Is Renter' and 'Rental Amt' in data-entry details block")</f>
        <v/>
      </c>
      <c r="G1669" t="inlineStr">
        <is>
          <t>dev/data-entry-renter</t>
        </is>
      </c>
      <c r="H1669" t="inlineStr">
        <is>
          <t>PreTest_Development</t>
        </is>
      </c>
      <c r="I1669" t="inlineStr">
        <is>
          <t>merged</t>
        </is>
      </c>
      <c r="J1669" t="inlineStr"/>
      <c r="K1669" t="inlineStr"/>
      <c r="L1669" t="inlineStr"/>
      <c r="M1669" t="inlineStr"/>
      <c r="N1669" t="inlineStr"/>
      <c r="O1669" t="inlineStr"/>
      <c r="P1669" t="inlineStr"/>
      <c r="Q1669" t="inlineStr"/>
    </row>
    <row r="1670">
      <c r="A1670" t="inlineStr">
        <is>
          <t>sakshi.s</t>
        </is>
      </c>
      <c r="B1670" t="inlineStr">
        <is>
          <t>Sakshi Saxena</t>
        </is>
      </c>
      <c r="C1670" t="inlineStr">
        <is>
          <t>sakshi.s@osmosys.co</t>
        </is>
      </c>
      <c r="D1670" t="inlineStr">
        <is>
          <t>tp</t>
        </is>
      </c>
      <c r="E1670">
        <f>HYPERLINK("http://gitlab.osmosys.co/tp/tp360", "TP360")</f>
        <v/>
      </c>
      <c r="F1670">
        <f>HYPERLINK("http://gitlab.osmosys.co/tp/tp360/-/merge_requests/2990", "Issue: Fix State not populating in guest placement without expanding placement block")</f>
        <v/>
      </c>
      <c r="G1670" t="inlineStr">
        <is>
          <t>issue/state-issue</t>
        </is>
      </c>
      <c r="H1670" t="inlineStr">
        <is>
          <t>PreTest_Development</t>
        </is>
      </c>
      <c r="I1670" t="inlineStr">
        <is>
          <t>merged</t>
        </is>
      </c>
      <c r="J1670" t="inlineStr"/>
      <c r="K1670" t="inlineStr"/>
      <c r="L1670" t="inlineStr"/>
      <c r="M1670" t="inlineStr"/>
      <c r="N1670" t="inlineStr"/>
      <c r="O1670" t="inlineStr"/>
      <c r="P1670" t="inlineStr"/>
      <c r="Q1670" t="inlineStr"/>
    </row>
    <row r="1671">
      <c r="A1671" t="inlineStr">
        <is>
          <t>sakshi.s</t>
        </is>
      </c>
      <c r="B1671" t="inlineStr">
        <is>
          <t>Sakshi Saxena</t>
        </is>
      </c>
      <c r="C1671" t="inlineStr">
        <is>
          <t>sakshi.s@osmosys.co</t>
        </is>
      </c>
      <c r="D1671" t="inlineStr">
        <is>
          <t>tp</t>
        </is>
      </c>
      <c r="E1671">
        <f>HYPERLINK("http://gitlab.osmosys.co/tp/tp360", "TP360")</f>
        <v/>
      </c>
      <c r="F1671">
        <f>HYPERLINK("http://gitlab.osmosys.co/tp/tp360/-/merge_requests/2986", "Issue: Fix Copy Property in Quick Placement block")</f>
        <v/>
      </c>
      <c r="G1671" t="inlineStr">
        <is>
          <t>issue/fix-state-guest-side</t>
        </is>
      </c>
      <c r="H1671" t="inlineStr">
        <is>
          <t>PreTest_Development</t>
        </is>
      </c>
      <c r="I1671" t="inlineStr">
        <is>
          <t>merged</t>
        </is>
      </c>
      <c r="J1671" t="inlineStr"/>
      <c r="K1671" t="inlineStr"/>
      <c r="L1671" t="inlineStr"/>
      <c r="M1671" t="inlineStr"/>
      <c r="N1671" t="inlineStr"/>
      <c r="O1671" t="inlineStr"/>
      <c r="P1671" t="inlineStr"/>
      <c r="Q1671" t="inlineStr"/>
    </row>
    <row r="1672">
      <c r="A1672" t="inlineStr">
        <is>
          <t>sakshi.s</t>
        </is>
      </c>
      <c r="B1672" t="inlineStr">
        <is>
          <t>Sakshi Saxena</t>
        </is>
      </c>
      <c r="C1672" t="inlineStr">
        <is>
          <t>sakshi.s@osmosys.co</t>
        </is>
      </c>
      <c r="D1672" t="inlineStr">
        <is>
          <t>tp</t>
        </is>
      </c>
      <c r="E1672">
        <f>HYPERLINK("http://gitlab.osmosys.co/tp/tp360", "TP360")</f>
        <v/>
      </c>
      <c r="F1672">
        <f>HYPERLINK("http://gitlab.osmosys.co/tp/tp360/-/merge_requests/2979", "Issue: Fix State not populating in data-entry")</f>
        <v/>
      </c>
      <c r="G1672" t="inlineStr">
        <is>
          <t>issue/state-data-entry</t>
        </is>
      </c>
      <c r="H1672" t="inlineStr">
        <is>
          <t>PreTest_Development</t>
        </is>
      </c>
      <c r="I1672" t="inlineStr">
        <is>
          <t>merged</t>
        </is>
      </c>
      <c r="J1672" t="inlineStr"/>
      <c r="K1672" t="inlineStr"/>
      <c r="L1672" t="inlineStr"/>
      <c r="M1672" t="inlineStr"/>
      <c r="N1672" t="inlineStr"/>
      <c r="O1672" t="inlineStr"/>
      <c r="P1672" t="inlineStr"/>
      <c r="Q1672" t="inlineStr"/>
    </row>
    <row r="1673">
      <c r="A1673" t="inlineStr">
        <is>
          <t>sakshi.s</t>
        </is>
      </c>
      <c r="B1673" t="inlineStr">
        <is>
          <t>Sakshi Saxena</t>
        </is>
      </c>
      <c r="C1673" t="inlineStr">
        <is>
          <t>sakshi.s@osmosys.co</t>
        </is>
      </c>
      <c r="D1673" t="inlineStr">
        <is>
          <t>tp</t>
        </is>
      </c>
      <c r="E1673">
        <f>HYPERLINK("http://gitlab.osmosys.co/tp/tp360", "TP360")</f>
        <v/>
      </c>
      <c r="F1673">
        <f>HYPERLINK("http://gitlab.osmosys.co/tp/tp360/-/merge_requests/2975", "Issue: Fix label alignment in support ticket")</f>
        <v/>
      </c>
      <c r="G1673" t="inlineStr">
        <is>
          <t>issue/fix-label-alignment</t>
        </is>
      </c>
      <c r="H1673" t="inlineStr">
        <is>
          <t>PreTest_Development</t>
        </is>
      </c>
      <c r="I1673" t="inlineStr">
        <is>
          <t>merged</t>
        </is>
      </c>
      <c r="J1673" t="inlineStr"/>
      <c r="K1673" t="inlineStr"/>
      <c r="L1673" t="inlineStr"/>
      <c r="M1673" t="inlineStr"/>
      <c r="N1673" t="inlineStr"/>
      <c r="O1673" t="inlineStr"/>
      <c r="P1673" t="inlineStr"/>
      <c r="Q1673" t="inlineStr"/>
    </row>
    <row r="1674">
      <c r="A1674" t="inlineStr">
        <is>
          <t>sakshi.s</t>
        </is>
      </c>
      <c r="B1674" t="inlineStr">
        <is>
          <t>Sakshi Saxena</t>
        </is>
      </c>
      <c r="C1674" t="inlineStr">
        <is>
          <t>sakshi.s@osmosys.co</t>
        </is>
      </c>
      <c r="D1674" t="inlineStr">
        <is>
          <t>tp</t>
        </is>
      </c>
      <c r="E1674">
        <f>HYPERLINK("http://gitlab.osmosys.co/tp/tp360", "TP360")</f>
        <v/>
      </c>
      <c r="F1674">
        <f>HYPERLINK("http://gitlab.osmosys.co/tp/tp360/-/merge_requests/2974", "Issue: Fix Support worksheet Save preferences issue")</f>
        <v/>
      </c>
      <c r="G1674" t="inlineStr">
        <is>
          <t>dev/support-ws-preferences</t>
        </is>
      </c>
      <c r="H1674" t="inlineStr">
        <is>
          <t>PreTest_Development</t>
        </is>
      </c>
      <c r="I1674" t="inlineStr">
        <is>
          <t>opened</t>
        </is>
      </c>
      <c r="J1674" t="inlineStr"/>
      <c r="K1674" t="inlineStr"/>
      <c r="L1674" t="inlineStr"/>
      <c r="M1674" t="inlineStr"/>
      <c r="N1674" t="inlineStr"/>
      <c r="O1674" t="inlineStr"/>
      <c r="P1674" t="inlineStr"/>
      <c r="Q1674" t="inlineStr"/>
    </row>
    <row r="1675">
      <c r="A1675" t="inlineStr">
        <is>
          <t>sakshi.s</t>
        </is>
      </c>
      <c r="B1675" t="inlineStr">
        <is>
          <t>Sakshi Saxena</t>
        </is>
      </c>
      <c r="C1675" t="inlineStr">
        <is>
          <t>sakshi.s@osmosys.co</t>
        </is>
      </c>
      <c r="D1675" t="inlineStr">
        <is>
          <t>tp</t>
        </is>
      </c>
      <c r="E1675">
        <f>HYPERLINK("http://gitlab.osmosys.co/tp/tp360", "TP360")</f>
        <v/>
      </c>
      <c r="F1675">
        <f>HYPERLINK("http://gitlab.osmosys.co/tp/tp360/-/merge_requests/2962", "Issue: Fix blank page coming when session expires")</f>
        <v/>
      </c>
      <c r="G1675" t="inlineStr">
        <is>
          <t>issue/blank-page-fix</t>
        </is>
      </c>
      <c r="H1675" t="inlineStr">
        <is>
          <t>PreTest_Development</t>
        </is>
      </c>
      <c r="I1675" t="inlineStr">
        <is>
          <t>merged</t>
        </is>
      </c>
      <c r="J1675" t="inlineStr"/>
      <c r="K1675" t="inlineStr"/>
      <c r="L1675" t="inlineStr"/>
      <c r="M1675" t="inlineStr"/>
      <c r="N1675" t="inlineStr"/>
      <c r="O1675" t="inlineStr"/>
      <c r="P1675" t="inlineStr"/>
      <c r="Q1675" t="inlineStr"/>
    </row>
    <row r="1676">
      <c r="A1676" t="inlineStr">
        <is>
          <t>sakshi.s</t>
        </is>
      </c>
      <c r="B1676" t="inlineStr">
        <is>
          <t>Sakshi Saxena</t>
        </is>
      </c>
      <c r="C1676" t="inlineStr">
        <is>
          <t>sakshi.s@osmosys.co</t>
        </is>
      </c>
      <c r="D1676" t="inlineStr">
        <is>
          <t>tp</t>
        </is>
      </c>
      <c r="E1676">
        <f>HYPERLINK("http://gitlab.osmosys.co/tp/tp360", "TP360")</f>
        <v/>
      </c>
      <c r="F1676">
        <f>HYPERLINK("http://gitlab.osmosys.co/tp/tp360/-/merge_requests/2957", "Dev: Make Nights/Days field required in guest stay section")</f>
        <v/>
      </c>
      <c r="G1676" t="inlineStr">
        <is>
          <t>dev/night-days-required</t>
        </is>
      </c>
      <c r="H1676" t="inlineStr">
        <is>
          <t>PreTest_Development</t>
        </is>
      </c>
      <c r="I1676" t="inlineStr">
        <is>
          <t>merged</t>
        </is>
      </c>
      <c r="J1676" t="inlineStr"/>
      <c r="K1676" t="inlineStr"/>
      <c r="L1676" t="inlineStr"/>
      <c r="M1676" t="inlineStr"/>
      <c r="N1676" t="inlineStr"/>
      <c r="O1676" t="inlineStr"/>
      <c r="P1676" t="inlineStr"/>
      <c r="Q1676" t="inlineStr"/>
    </row>
    <row r="1677">
      <c r="A1677" t="inlineStr">
        <is>
          <t>sakshi.s</t>
        </is>
      </c>
      <c r="B1677" t="inlineStr">
        <is>
          <t>Sakshi Saxena</t>
        </is>
      </c>
      <c r="C1677" t="inlineStr">
        <is>
          <t>sakshi.s@osmosys.co</t>
        </is>
      </c>
      <c r="D1677" t="inlineStr">
        <is>
          <t>tp</t>
        </is>
      </c>
      <c r="E1677">
        <f>HYPERLINK("http://gitlab.osmosys.co/tp/tp360", "TP360")</f>
        <v/>
      </c>
      <c r="F1677">
        <f>HYPERLINK("http://gitlab.osmosys.co/tp/tp360/-/merge_requests/2950", "14497: Add Stage dropdown in notification and view notes popup and fix alignment issues")</f>
        <v/>
      </c>
      <c r="G1677" t="inlineStr">
        <is>
          <t>dev/support-req-issues</t>
        </is>
      </c>
      <c r="H1677" t="inlineStr">
        <is>
          <t>PreTest_Development</t>
        </is>
      </c>
      <c r="I1677" t="inlineStr">
        <is>
          <t>opened</t>
        </is>
      </c>
      <c r="J1677" t="inlineStr"/>
      <c r="K1677" t="inlineStr"/>
      <c r="L1677" t="inlineStr"/>
      <c r="M1677" t="inlineStr"/>
      <c r="N1677" t="inlineStr"/>
      <c r="O1677" t="inlineStr"/>
      <c r="P1677" t="inlineStr"/>
      <c r="Q1677" t="inlineStr"/>
    </row>
    <row r="1678">
      <c r="A1678" t="inlineStr">
        <is>
          <t>sakshi.s</t>
        </is>
      </c>
      <c r="B1678" t="inlineStr">
        <is>
          <t>Sakshi Saxena</t>
        </is>
      </c>
      <c r="C1678" t="inlineStr">
        <is>
          <t>sakshi.s@osmosys.co</t>
        </is>
      </c>
      <c r="D1678" t="inlineStr">
        <is>
          <t>tp</t>
        </is>
      </c>
      <c r="E1678">
        <f>HYPERLINK("http://gitlab.osmosys.co/tp/tp360", "TP360")</f>
        <v/>
      </c>
      <c r="F1678">
        <f>HYPERLINK("http://gitlab.osmosys.co/tp/tp360/-/merge_requests/2949", "Dev: Add condition to show Reimbursement checkbox only visible for ALT files")</f>
        <v/>
      </c>
      <c r="G1678" t="inlineStr">
        <is>
          <t>dev/reimbursement-alt</t>
        </is>
      </c>
      <c r="H1678" t="inlineStr">
        <is>
          <t>PreTest_Development</t>
        </is>
      </c>
      <c r="I1678" t="inlineStr">
        <is>
          <t>merged</t>
        </is>
      </c>
      <c r="J1678" t="inlineStr"/>
      <c r="K1678" t="inlineStr"/>
      <c r="L1678" t="inlineStr"/>
      <c r="M1678" t="inlineStr"/>
      <c r="N1678" t="inlineStr"/>
      <c r="O1678" t="inlineStr"/>
      <c r="P1678" t="inlineStr"/>
      <c r="Q1678" t="inlineStr"/>
    </row>
    <row r="1679">
      <c r="A1679" t="inlineStr">
        <is>
          <t>sakshi.s</t>
        </is>
      </c>
      <c r="B1679" t="inlineStr">
        <is>
          <t>Sakshi Saxena</t>
        </is>
      </c>
      <c r="C1679" t="inlineStr">
        <is>
          <t>sakshi.s@osmosys.co</t>
        </is>
      </c>
      <c r="D1679" t="inlineStr">
        <is>
          <t>tp</t>
        </is>
      </c>
      <c r="E1679">
        <f>HYPERLINK("http://gitlab.osmosys.co/tp/tp360", "TP360")</f>
        <v/>
      </c>
      <c r="F1679">
        <f>HYPERLINK("http://gitlab.osmosys.co/tp/tp360/-/merge_requests/2942", "Fix fill mandatory fields issue in Bl full input")</f>
        <v/>
      </c>
      <c r="G1679" t="inlineStr">
        <is>
          <t>issue/sec-deposit-required</t>
        </is>
      </c>
      <c r="H1679" t="inlineStr">
        <is>
          <t>PreTest_Development</t>
        </is>
      </c>
      <c r="I1679" t="inlineStr">
        <is>
          <t>merged</t>
        </is>
      </c>
      <c r="J1679" t="inlineStr"/>
      <c r="K1679" t="inlineStr"/>
      <c r="L1679" t="inlineStr"/>
      <c r="M1679" t="inlineStr"/>
      <c r="N1679" t="inlineStr"/>
      <c r="O1679" t="inlineStr"/>
      <c r="P1679" t="inlineStr"/>
      <c r="Q1679" t="inlineStr"/>
    </row>
    <row r="1680">
      <c r="A1680" t="inlineStr">
        <is>
          <t>sakshi.s</t>
        </is>
      </c>
      <c r="B1680" t="inlineStr">
        <is>
          <t>Sakshi Saxena</t>
        </is>
      </c>
      <c r="C1680" t="inlineStr">
        <is>
          <t>sakshi.s@osmosys.co</t>
        </is>
      </c>
      <c r="D1680" t="inlineStr">
        <is>
          <t>tp</t>
        </is>
      </c>
      <c r="E1680">
        <f>HYPERLINK("http://gitlab.osmosys.co/tp/tp360", "TP360")</f>
        <v/>
      </c>
      <c r="F1680">
        <f>HYPERLINK("http://gitlab.osmosys.co/tp/tp360/-/merge_requests/2941", "Set received date and time to current date time when changing division type in data entry")</f>
        <v/>
      </c>
      <c r="G1680" t="inlineStr">
        <is>
          <t>issue/received-date-data-entry</t>
        </is>
      </c>
      <c r="H1680" t="inlineStr">
        <is>
          <t>PreTest_Development</t>
        </is>
      </c>
      <c r="I1680" t="inlineStr">
        <is>
          <t>merged</t>
        </is>
      </c>
      <c r="J1680" t="inlineStr"/>
      <c r="K1680" t="inlineStr"/>
      <c r="L1680" t="inlineStr"/>
      <c r="M1680" t="inlineStr"/>
      <c r="N1680" t="inlineStr"/>
      <c r="O1680" t="inlineStr"/>
      <c r="P1680" t="inlineStr"/>
      <c r="Q1680" t="inlineStr"/>
    </row>
    <row r="1681">
      <c r="A1681" t="inlineStr">
        <is>
          <t>sakshi.s</t>
        </is>
      </c>
      <c r="B1681" t="inlineStr">
        <is>
          <t>Sakshi Saxena</t>
        </is>
      </c>
      <c r="C1681" t="inlineStr">
        <is>
          <t>sakshi.s@osmosys.co</t>
        </is>
      </c>
      <c r="D1681" t="inlineStr">
        <is>
          <t>tp</t>
        </is>
      </c>
      <c r="E1681">
        <f>HYPERLINK("http://gitlab.osmosys.co/tp/tp360", "TP360")</f>
        <v/>
      </c>
      <c r="F1681">
        <f>HYPERLINK("http://gitlab.osmosys.co/tp/tp360/-/merge_requests/2937", "Set ReceivedDate to current date and time in full input, quick input and date-entry")</f>
        <v/>
      </c>
      <c r="G1681" t="inlineStr">
        <is>
          <t>dev/init-received-date-with-now</t>
        </is>
      </c>
      <c r="H1681" t="inlineStr">
        <is>
          <t>PreTest_Development</t>
        </is>
      </c>
      <c r="I1681" t="inlineStr">
        <is>
          <t>merged</t>
        </is>
      </c>
      <c r="J1681" t="inlineStr"/>
      <c r="K1681" t="inlineStr"/>
      <c r="L1681" t="inlineStr"/>
      <c r="M1681" t="inlineStr"/>
      <c r="N1681" t="inlineStr"/>
      <c r="O1681" t="inlineStr"/>
      <c r="P1681" t="inlineStr"/>
      <c r="Q1681" t="inlineStr"/>
    </row>
    <row r="1682">
      <c r="A1682" t="inlineStr">
        <is>
          <t>sakshi.s</t>
        </is>
      </c>
      <c r="B1682" t="inlineStr">
        <is>
          <t>Sakshi Saxena</t>
        </is>
      </c>
      <c r="C1682" t="inlineStr">
        <is>
          <t>sakshi.s@osmosys.co</t>
        </is>
      </c>
      <c r="D1682" t="inlineStr">
        <is>
          <t>tp</t>
        </is>
      </c>
      <c r="E1682">
        <f>HYPERLINK("http://gitlab.osmosys.co/tp/tp360", "TP360")</f>
        <v/>
      </c>
      <c r="F1682">
        <f>HYPERLINK("http://gitlab.osmosys.co/tp/tp360/-/merge_requests/2934", "Add Save btn turn red functionality in hotel commission invoice-popup")</f>
        <v/>
      </c>
      <c r="G1682" t="inlineStr">
        <is>
          <t>dev/invoice-popup-fix</t>
        </is>
      </c>
      <c r="H1682" t="inlineStr">
        <is>
          <t>PreTest_Development</t>
        </is>
      </c>
      <c r="I1682" t="inlineStr">
        <is>
          <t>merged</t>
        </is>
      </c>
      <c r="J1682" t="inlineStr"/>
      <c r="K1682" t="inlineStr"/>
      <c r="L1682" t="inlineStr"/>
      <c r="M1682" t="inlineStr"/>
      <c r="N1682" t="inlineStr"/>
      <c r="O1682" t="inlineStr"/>
      <c r="P1682" t="inlineStr"/>
      <c r="Q1682" t="inlineStr"/>
    </row>
    <row r="1683">
      <c r="A1683" t="inlineStr">
        <is>
          <t>sakshi.s</t>
        </is>
      </c>
      <c r="B1683" t="inlineStr">
        <is>
          <t>Sakshi Saxena</t>
        </is>
      </c>
      <c r="C1683" t="inlineStr">
        <is>
          <t>sakshi.s@osmosys.co</t>
        </is>
      </c>
      <c r="D1683" t="inlineStr">
        <is>
          <t>tp</t>
        </is>
      </c>
      <c r="E1683">
        <f>HYPERLINK("http://gitlab.osmosys.co/tp/tp360", "TP360")</f>
        <v/>
      </c>
      <c r="F1683">
        <f>HYPERLINK("http://gitlab.osmosys.co/tp/tp360/-/merge_requests/2918", "Fix url for search-guest-details window")</f>
        <v/>
      </c>
      <c r="G1683" t="inlineStr">
        <is>
          <t>issue/update-url</t>
        </is>
      </c>
      <c r="H1683" t="inlineStr">
        <is>
          <t>PreTest_Development</t>
        </is>
      </c>
      <c r="I1683" t="inlineStr">
        <is>
          <t>merged</t>
        </is>
      </c>
      <c r="J1683" t="inlineStr"/>
      <c r="K1683" t="inlineStr"/>
      <c r="L1683" t="inlineStr"/>
      <c r="M1683" t="inlineStr"/>
      <c r="N1683" t="inlineStr"/>
      <c r="O1683" t="inlineStr"/>
      <c r="P1683" t="inlineStr"/>
      <c r="Q1683" t="inlineStr"/>
    </row>
    <row r="1684">
      <c r="A1684" t="inlineStr">
        <is>
          <t>sakshi.s</t>
        </is>
      </c>
      <c r="B1684" t="inlineStr">
        <is>
          <t>Sakshi Saxena</t>
        </is>
      </c>
      <c r="C1684" t="inlineStr">
        <is>
          <t>sakshi.s@osmosys.co</t>
        </is>
      </c>
      <c r="D1684" t="inlineStr">
        <is>
          <t>tp</t>
        </is>
      </c>
      <c r="E1684">
        <f>HYPERLINK("http://gitlab.osmosys.co/tp/tp360", "TP360")</f>
        <v/>
      </c>
      <c r="F1684">
        <f>HYPERLINK("http://gitlab.osmosys.co/tp/tp360/-/merge_requests/2910", "Restrict worksheet API call when no change is made")</f>
        <v/>
      </c>
      <c r="G1684" t="inlineStr">
        <is>
          <t>issue/restrict-api</t>
        </is>
      </c>
      <c r="H1684" t="inlineStr">
        <is>
          <t>PreTest_Development</t>
        </is>
      </c>
      <c r="I1684" t="inlineStr">
        <is>
          <t>merged</t>
        </is>
      </c>
      <c r="J1684" t="inlineStr"/>
      <c r="K1684" t="inlineStr"/>
      <c r="L1684" t="inlineStr"/>
      <c r="M1684" t="inlineStr"/>
      <c r="N1684" t="inlineStr"/>
      <c r="O1684" t="inlineStr"/>
      <c r="P1684" t="inlineStr"/>
      <c r="Q1684" t="inlineStr"/>
    </row>
    <row r="1685">
      <c r="A1685" t="inlineStr">
        <is>
          <t>sakshi.s</t>
        </is>
      </c>
      <c r="B1685" t="inlineStr">
        <is>
          <t>Sakshi Saxena</t>
        </is>
      </c>
      <c r="C1685" t="inlineStr">
        <is>
          <t>sakshi.s@osmosys.co</t>
        </is>
      </c>
      <c r="D1685" t="inlineStr">
        <is>
          <t>tp</t>
        </is>
      </c>
      <c r="E1685">
        <f>HYPERLINK("http://gitlab.osmosys.co/tp/tp360", "TP360")</f>
        <v/>
      </c>
      <c r="F1685">
        <f>HYPERLINK("http://gitlab.osmosys.co/tp/tp360/-/merge_requests/2886", "Fix Save button issue in guest attach documents")</f>
        <v/>
      </c>
      <c r="G1685" t="inlineStr">
        <is>
          <t>issue/guest-attach-save</t>
        </is>
      </c>
      <c r="H1685" t="inlineStr">
        <is>
          <t>PreTest_Development</t>
        </is>
      </c>
      <c r="I1685" t="inlineStr">
        <is>
          <t>merged</t>
        </is>
      </c>
      <c r="J1685" t="inlineStr"/>
      <c r="K1685" t="inlineStr"/>
      <c r="L1685" t="inlineStr"/>
      <c r="M1685" t="inlineStr"/>
      <c r="N1685" t="inlineStr"/>
      <c r="O1685" t="inlineStr"/>
      <c r="P1685" t="inlineStr"/>
      <c r="Q1685" t="inlineStr"/>
    </row>
    <row r="1686">
      <c r="A1686" t="inlineStr">
        <is>
          <t>sakshi.s</t>
        </is>
      </c>
      <c r="B1686" t="inlineStr">
        <is>
          <t>Sakshi Saxena</t>
        </is>
      </c>
      <c r="C1686" t="inlineStr">
        <is>
          <t>sakshi.s@osmosys.co</t>
        </is>
      </c>
      <c r="D1686" t="inlineStr">
        <is>
          <t>tp</t>
        </is>
      </c>
      <c r="E1686">
        <f>HYPERLINK("http://gitlab.osmosys.co/tp/tp360", "TP360")</f>
        <v/>
      </c>
      <c r="F1686">
        <f>HYPERLINK("http://gitlab.osmosys.co/tp/tp360/-/merge_requests/2870", "Fix btn alignments in confirm ale popup")</f>
        <v/>
      </c>
      <c r="G1686" t="inlineStr">
        <is>
          <t>issue/btn-alignment</t>
        </is>
      </c>
      <c r="H1686" t="inlineStr">
        <is>
          <t>PreTest_Development</t>
        </is>
      </c>
      <c r="I1686" t="inlineStr">
        <is>
          <t>merged</t>
        </is>
      </c>
      <c r="J1686" t="inlineStr"/>
      <c r="K1686" t="inlineStr"/>
      <c r="L1686" t="inlineStr"/>
      <c r="M1686" t="inlineStr"/>
      <c r="N1686" t="inlineStr"/>
      <c r="O1686" t="inlineStr"/>
      <c r="P1686" t="inlineStr"/>
      <c r="Q1686" t="inlineStr"/>
    </row>
    <row r="1687">
      <c r="A1687" t="inlineStr">
        <is>
          <t>mohit.p</t>
        </is>
      </c>
      <c r="B1687" t="inlineStr">
        <is>
          <t>Mohit Pargaie</t>
        </is>
      </c>
      <c r="C1687" t="inlineStr">
        <is>
          <t>mohit.p@osmosys.co</t>
        </is>
      </c>
      <c r="D1687" t="inlineStr">
        <is>
          <t>incident-reporter</t>
        </is>
      </c>
      <c r="E1687">
        <f>HYPERLINK("http://gitlab.osmosys.co/incident-reporter/incident-reporter-api", "OQSHA-API")</f>
        <v/>
      </c>
      <c r="F1687">
        <f>HYPERLINK("http://gitlab.osmosys.co/incident-reporter/incident-reporter-api/-/merge_requests/4468", "fix: update code to remove repo call outside loop")</f>
        <v/>
      </c>
      <c r="G1687" t="inlineStr">
        <is>
          <t>fix/assets-improvement</t>
        </is>
      </c>
      <c r="H1687" t="inlineStr">
        <is>
          <t>sprint-19</t>
        </is>
      </c>
      <c r="I1687" t="inlineStr">
        <is>
          <t>merged</t>
        </is>
      </c>
      <c r="J1687" t="inlineStr"/>
      <c r="K1687" t="inlineStr"/>
      <c r="L1687" t="inlineStr"/>
      <c r="M1687" t="inlineStr"/>
      <c r="N1687" t="inlineStr"/>
      <c r="O1687" t="inlineStr"/>
      <c r="P1687" t="inlineStr"/>
      <c r="Q1687" t="inlineStr"/>
    </row>
    <row r="1688">
      <c r="A1688" t="inlineStr">
        <is>
          <t>mohit.p</t>
        </is>
      </c>
      <c r="B1688" t="inlineStr">
        <is>
          <t>Mohit Pargaie</t>
        </is>
      </c>
      <c r="C1688" t="inlineStr">
        <is>
          <t>mohit.p@osmosys.co</t>
        </is>
      </c>
      <c r="D1688" t="inlineStr">
        <is>
          <t>incident-reporter</t>
        </is>
      </c>
      <c r="E1688">
        <f>HYPERLINK("http://gitlab.osmosys.co/incident-reporter/incident-reporter-api", "OQSHA-API")</f>
        <v/>
      </c>
      <c r="F1688">
        <f>HYPERLINK("http://gitlab.osmosys.co/incident-reporter/incident-reporter-api/-/merge_requests/4457", "feat: add setup api for incident management investigation categories")</f>
        <v/>
      </c>
      <c r="G1688" t="inlineStr">
        <is>
          <t>feat/incident-investigation-report</t>
        </is>
      </c>
      <c r="H1688" t="inlineStr">
        <is>
          <t>sprint-19</t>
        </is>
      </c>
      <c r="I1688" t="inlineStr">
        <is>
          <t>merged</t>
        </is>
      </c>
      <c r="J1688" t="inlineStr"/>
      <c r="K1688" t="inlineStr"/>
      <c r="L1688" t="inlineStr"/>
      <c r="M1688" t="inlineStr"/>
      <c r="N1688" t="inlineStr"/>
      <c r="O1688" t="inlineStr"/>
      <c r="P1688" t="inlineStr"/>
      <c r="Q1688" t="inlineStr"/>
    </row>
    <row r="1689">
      <c r="A1689" t="inlineStr">
        <is>
          <t>mohit.p</t>
        </is>
      </c>
      <c r="B1689" t="inlineStr">
        <is>
          <t>Mohit Pargaie</t>
        </is>
      </c>
      <c r="C1689" t="inlineStr">
        <is>
          <t>mohit.p@osmosys.co</t>
        </is>
      </c>
      <c r="D1689" t="inlineStr">
        <is>
          <t>incident-reporter</t>
        </is>
      </c>
      <c r="E1689">
        <f>HYPERLINK("http://gitlab.osmosys.co/incident-reporter/incident-reporter-api", "OQSHA-API")</f>
        <v/>
      </c>
      <c r="F1689">
        <f>HYPERLINK("http://gitlab.osmosys.co/incident-reporter/incident-reporter-api/-/merge_requests/4444", "feat: add setup apis for incident management fir category")</f>
        <v/>
      </c>
      <c r="G1689" t="inlineStr">
        <is>
          <t>feat/incident-management-category</t>
        </is>
      </c>
      <c r="H1689" t="inlineStr">
        <is>
          <t>sprint-19</t>
        </is>
      </c>
      <c r="I1689" t="inlineStr">
        <is>
          <t>merged</t>
        </is>
      </c>
      <c r="J1689" t="inlineStr">
        <is>
          <t>a35a61135f56d5e24e8d3166720420a867a6573b</t>
        </is>
      </c>
      <c r="K1689">
        <f>HYPERLINK("http://gitlab.osmosys.co/incident-reporter/incident-reporter-api/-/merge_requests/4444#note_245982", "IncidentManagementIncident --&gt; IncidentManagement
Fix this in both routes")</f>
        <v/>
      </c>
      <c r="L1689" t="inlineStr">
        <is>
          <t>2025-08-02 08:22:36.868 IST</t>
        </is>
      </c>
      <c r="M1689" t="inlineStr">
        <is>
          <t>Sindhusha</t>
        </is>
      </c>
      <c r="N1689" t="inlineStr">
        <is>
          <t>Yes</t>
        </is>
      </c>
      <c r="O1689" t="inlineStr">
        <is>
          <t>Yes</t>
        </is>
      </c>
      <c r="P1689" t="inlineStr">
        <is>
          <t>Sindhusha</t>
        </is>
      </c>
      <c r="Q1689" t="inlineStr">
        <is>
          <t>Bad</t>
        </is>
      </c>
    </row>
    <row r="1690">
      <c r="A1690" t="inlineStr">
        <is>
          <t>mohit.p</t>
        </is>
      </c>
      <c r="B1690" t="inlineStr">
        <is>
          <t>Mohit Pargaie</t>
        </is>
      </c>
      <c r="C1690" t="inlineStr">
        <is>
          <t>mohit.p@osmosys.co</t>
        </is>
      </c>
      <c r="D1690" t="inlineStr">
        <is>
          <t>incident-reporter</t>
        </is>
      </c>
      <c r="E1690">
        <f>HYPERLINK("http://gitlab.osmosys.co/incident-reporter/incident-reporter-api", "OQSHA-API")</f>
        <v/>
      </c>
      <c r="F1690">
        <f>HYPERLINK("http://gitlab.osmosys.co/incident-reporter/incident-reporter-api/-/merge_requests/4444", "feat: add setup apis for incident management fir category")</f>
        <v/>
      </c>
      <c r="G1690" t="inlineStr">
        <is>
          <t>feat/incident-management-category</t>
        </is>
      </c>
      <c r="H1690" t="inlineStr">
        <is>
          <t>sprint-19</t>
        </is>
      </c>
      <c r="I1690" t="inlineStr">
        <is>
          <t>merged</t>
        </is>
      </c>
      <c r="J1690" t="inlineStr">
        <is>
          <t>a35a61135f56d5e24e8d3166720420a867a6573b</t>
        </is>
      </c>
      <c r="K1690">
        <f>HYPERLINK("http://gitlab.osmosys.co/incident-reporter/incident-reporter-api/-/merge_requests/4444#note_246045", "Updated")</f>
        <v/>
      </c>
      <c r="L1690" t="inlineStr">
        <is>
          <t>2025-08-02 10:51:19.590 IST</t>
        </is>
      </c>
      <c r="M1690" t="inlineStr">
        <is>
          <t>Mohit Pargaie</t>
        </is>
      </c>
      <c r="N1690" t="inlineStr">
        <is>
          <t>No</t>
        </is>
      </c>
      <c r="O1690" t="inlineStr">
        <is>
          <t>Yes</t>
        </is>
      </c>
      <c r="P1690" t="inlineStr">
        <is>
          <t>Sindhusha</t>
        </is>
      </c>
      <c r="Q1690" t="inlineStr">
        <is>
          <t>Bad</t>
        </is>
      </c>
    </row>
    <row r="1691">
      <c r="A1691" t="inlineStr">
        <is>
          <t>mohit.p</t>
        </is>
      </c>
      <c r="B1691" t="inlineStr">
        <is>
          <t>Mohit Pargaie</t>
        </is>
      </c>
      <c r="C1691" t="inlineStr">
        <is>
          <t>mohit.p@osmosys.co</t>
        </is>
      </c>
      <c r="D1691" t="inlineStr">
        <is>
          <t>incident-reporter</t>
        </is>
      </c>
      <c r="E1691">
        <f>HYPERLINK("http://gitlab.osmosys.co/incident-reporter/incident-reporter-api", "OQSHA-API")</f>
        <v/>
      </c>
      <c r="F1691">
        <f>HYPERLINK("http://gitlab.osmosys.co/incident-reporter/incident-reporter-api/-/merge_requests/4444", "feat: add setup apis for incident management fir category")</f>
        <v/>
      </c>
      <c r="G1691" t="inlineStr">
        <is>
          <t>feat/incident-management-category</t>
        </is>
      </c>
      <c r="H1691" t="inlineStr">
        <is>
          <t>sprint-19</t>
        </is>
      </c>
      <c r="I1691" t="inlineStr">
        <is>
          <t>merged</t>
        </is>
      </c>
      <c r="J1691" t="inlineStr">
        <is>
          <t>647280e134442f2b0afbf2fb4fb06b434436496f</t>
        </is>
      </c>
      <c r="K1691">
        <f>HYPERLINK("http://gitlab.osmosys.co/incident-reporter/incident-reporter-api/-/merge_requests/4444#note_245983", "I don't see middleware for Acmmodule, add it.")</f>
        <v/>
      </c>
      <c r="L1691" t="inlineStr">
        <is>
          <t>2025-08-02 08:23:30.703 IST</t>
        </is>
      </c>
      <c r="M1691" t="inlineStr">
        <is>
          <t>Sindhusha</t>
        </is>
      </c>
      <c r="N1691" t="inlineStr">
        <is>
          <t>Yes</t>
        </is>
      </c>
      <c r="O1691" t="inlineStr">
        <is>
          <t>Yes</t>
        </is>
      </c>
      <c r="P1691" t="inlineStr">
        <is>
          <t>Sindhusha</t>
        </is>
      </c>
      <c r="Q1691" t="inlineStr">
        <is>
          <t>Bad</t>
        </is>
      </c>
    </row>
    <row r="1692">
      <c r="A1692" t="inlineStr">
        <is>
          <t>mohit.p</t>
        </is>
      </c>
      <c r="B1692" t="inlineStr">
        <is>
          <t>Mohit Pargaie</t>
        </is>
      </c>
      <c r="C1692" t="inlineStr">
        <is>
          <t>mohit.p@osmosys.co</t>
        </is>
      </c>
      <c r="D1692" t="inlineStr">
        <is>
          <t>incident-reporter</t>
        </is>
      </c>
      <c r="E1692">
        <f>HYPERLINK("http://gitlab.osmosys.co/incident-reporter/incident-reporter-api", "OQSHA-API")</f>
        <v/>
      </c>
      <c r="F1692">
        <f>HYPERLINK("http://gitlab.osmosys.co/incident-reporter/incident-reporter-api/-/merge_requests/4444", "feat: add setup apis for incident management fir category")</f>
        <v/>
      </c>
      <c r="G1692" t="inlineStr">
        <is>
          <t>feat/incident-management-category</t>
        </is>
      </c>
      <c r="H1692" t="inlineStr">
        <is>
          <t>sprint-19</t>
        </is>
      </c>
      <c r="I1692" t="inlineStr">
        <is>
          <t>merged</t>
        </is>
      </c>
      <c r="J1692" t="inlineStr">
        <is>
          <t>647280e134442f2b0afbf2fb4fb06b434436496f</t>
        </is>
      </c>
      <c r="K1692">
        <f>HYPERLINK("http://gitlab.osmosys.co/incident-reporter/incident-reporter-api/-/merge_requests/4444#note_246044", "added acmAuthorize")</f>
        <v/>
      </c>
      <c r="L1692" t="inlineStr">
        <is>
          <t>2025-08-02 10:51:14.077 IST</t>
        </is>
      </c>
      <c r="M1692" t="inlineStr">
        <is>
          <t>Mohit Pargaie</t>
        </is>
      </c>
      <c r="N1692" t="inlineStr">
        <is>
          <t>No</t>
        </is>
      </c>
      <c r="O1692" t="inlineStr">
        <is>
          <t>Yes</t>
        </is>
      </c>
      <c r="P1692" t="inlineStr">
        <is>
          <t>Sindhusha</t>
        </is>
      </c>
      <c r="Q1692" t="inlineStr">
        <is>
          <t>Bad</t>
        </is>
      </c>
    </row>
    <row r="1693">
      <c r="A1693" t="inlineStr">
        <is>
          <t>mohit.p</t>
        </is>
      </c>
      <c r="B1693" t="inlineStr">
        <is>
          <t>Mohit Pargaie</t>
        </is>
      </c>
      <c r="C1693" t="inlineStr">
        <is>
          <t>mohit.p@osmosys.co</t>
        </is>
      </c>
      <c r="D1693" t="inlineStr">
        <is>
          <t>incident-reporter</t>
        </is>
      </c>
      <c r="E1693">
        <f>HYPERLINK("http://gitlab.osmosys.co/incident-reporter/incident-reporter-api", "OQSHA-API")</f>
        <v/>
      </c>
      <c r="F1693">
        <f>HYPERLINK("http://gitlab.osmosys.co/incident-reporter/incident-reporter-api/-/merge_requests/4444", "feat: add setup apis for incident management fir category")</f>
        <v/>
      </c>
      <c r="G1693" t="inlineStr">
        <is>
          <t>feat/incident-management-category</t>
        </is>
      </c>
      <c r="H1693" t="inlineStr">
        <is>
          <t>sprint-19</t>
        </is>
      </c>
      <c r="I1693" t="inlineStr">
        <is>
          <t>merged</t>
        </is>
      </c>
      <c r="J1693" t="inlineStr">
        <is>
          <t>bb1c233485803f002f3ad57d50b41e4760197fa5</t>
        </is>
      </c>
      <c r="K1693">
        <f>HYPERLINK("http://gitlab.osmosys.co/incident-reporter/incident-reporter-api/-/merge_requests/4444#note_245984", "It should be just - InsertIncidentCategorySites")</f>
        <v/>
      </c>
      <c r="L1693" t="inlineStr">
        <is>
          <t>2025-08-02 08:26:01.560 IST</t>
        </is>
      </c>
      <c r="M1693" t="inlineStr">
        <is>
          <t>Sindhusha</t>
        </is>
      </c>
      <c r="N1693" t="inlineStr">
        <is>
          <t>Yes</t>
        </is>
      </c>
      <c r="O1693" t="inlineStr">
        <is>
          <t>Yes</t>
        </is>
      </c>
      <c r="P1693" t="inlineStr">
        <is>
          <t>Sindhusha</t>
        </is>
      </c>
      <c r="Q1693" t="inlineStr">
        <is>
          <t>Bad</t>
        </is>
      </c>
    </row>
    <row r="1694">
      <c r="A1694" t="inlineStr">
        <is>
          <t>mohit.p</t>
        </is>
      </c>
      <c r="B1694" t="inlineStr">
        <is>
          <t>Mohit Pargaie</t>
        </is>
      </c>
      <c r="C1694" t="inlineStr">
        <is>
          <t>mohit.p@osmosys.co</t>
        </is>
      </c>
      <c r="D1694" t="inlineStr">
        <is>
          <t>incident-reporter</t>
        </is>
      </c>
      <c r="E1694">
        <f>HYPERLINK("http://gitlab.osmosys.co/incident-reporter/incident-reporter-api", "OQSHA-API")</f>
        <v/>
      </c>
      <c r="F1694">
        <f>HYPERLINK("http://gitlab.osmosys.co/incident-reporter/incident-reporter-api/-/merge_requests/4444", "feat: add setup apis for incident management fir category")</f>
        <v/>
      </c>
      <c r="G1694" t="inlineStr">
        <is>
          <t>feat/incident-management-category</t>
        </is>
      </c>
      <c r="H1694" t="inlineStr">
        <is>
          <t>sprint-19</t>
        </is>
      </c>
      <c r="I1694" t="inlineStr">
        <is>
          <t>merged</t>
        </is>
      </c>
      <c r="J1694" t="inlineStr">
        <is>
          <t>bb1c233485803f002f3ad57d50b41e4760197fa5</t>
        </is>
      </c>
      <c r="K1694">
        <f>HYPERLINK("http://gitlab.osmosys.co/incident-reporter/incident-reporter-api/-/merge_requests/4444#note_246043", "updated")</f>
        <v/>
      </c>
      <c r="L1694" t="inlineStr">
        <is>
          <t>2025-08-02 10:51:02.974 IST</t>
        </is>
      </c>
      <c r="M1694" t="inlineStr">
        <is>
          <t>Mohit Pargaie</t>
        </is>
      </c>
      <c r="N1694" t="inlineStr">
        <is>
          <t>No</t>
        </is>
      </c>
      <c r="O1694" t="inlineStr">
        <is>
          <t>Yes</t>
        </is>
      </c>
      <c r="P1694" t="inlineStr">
        <is>
          <t>Sindhusha</t>
        </is>
      </c>
      <c r="Q1694" t="inlineStr">
        <is>
          <t>Bad</t>
        </is>
      </c>
    </row>
    <row r="1695">
      <c r="A1695" t="inlineStr">
        <is>
          <t>mohit.p</t>
        </is>
      </c>
      <c r="B1695" t="inlineStr">
        <is>
          <t>Mohit Pargaie</t>
        </is>
      </c>
      <c r="C1695" t="inlineStr">
        <is>
          <t>mohit.p@osmosys.co</t>
        </is>
      </c>
      <c r="D1695" t="inlineStr">
        <is>
          <t>incident-reporter</t>
        </is>
      </c>
      <c r="E1695">
        <f>HYPERLINK("http://gitlab.osmosys.co/incident-reporter/incident-reporter-api", "OQSHA-API")</f>
        <v/>
      </c>
      <c r="F1695">
        <f>HYPERLINK("http://gitlab.osmosys.co/incident-reporter/incident-reporter-api/-/merge_requests/4444", "feat: add setup apis for incident management fir category")</f>
        <v/>
      </c>
      <c r="G1695" t="inlineStr">
        <is>
          <t>feat/incident-management-category</t>
        </is>
      </c>
      <c r="H1695" t="inlineStr">
        <is>
          <t>sprint-19</t>
        </is>
      </c>
      <c r="I1695" t="inlineStr">
        <is>
          <t>merged</t>
        </is>
      </c>
      <c r="J1695" t="inlineStr">
        <is>
          <t>33a0979bb21d5207ceaf24263c4008f713cc7a6b</t>
        </is>
      </c>
      <c r="K1695">
        <f>HYPERLINK("http://gitlab.osmosys.co/incident-reporter/incident-reporter-api/-/merge_requests/4444#note_245986", "We don't need IncidentManagement to be added as prefix to functions, Class names etc., just add Incident
Tables can have incident_management though.")</f>
        <v/>
      </c>
      <c r="L1695" t="inlineStr">
        <is>
          <t>2025-08-02 08:32:34.279 IST</t>
        </is>
      </c>
      <c r="M1695" t="inlineStr">
        <is>
          <t>Sindhusha</t>
        </is>
      </c>
      <c r="N1695" t="inlineStr">
        <is>
          <t>Yes</t>
        </is>
      </c>
      <c r="O1695" t="inlineStr">
        <is>
          <t>Yes</t>
        </is>
      </c>
      <c r="P1695" t="inlineStr">
        <is>
          <t>Sindhusha</t>
        </is>
      </c>
      <c r="Q1695" t="inlineStr">
        <is>
          <t>Bad</t>
        </is>
      </c>
    </row>
    <row r="1696">
      <c r="A1696" t="inlineStr">
        <is>
          <t>mohit.p</t>
        </is>
      </c>
      <c r="B1696" t="inlineStr">
        <is>
          <t>Mohit Pargaie</t>
        </is>
      </c>
      <c r="C1696" t="inlineStr">
        <is>
          <t>mohit.p@osmosys.co</t>
        </is>
      </c>
      <c r="D1696" t="inlineStr">
        <is>
          <t>incident-reporter</t>
        </is>
      </c>
      <c r="E1696">
        <f>HYPERLINK("http://gitlab.osmosys.co/incident-reporter/incident-reporter-api", "OQSHA-API")</f>
        <v/>
      </c>
      <c r="F1696">
        <f>HYPERLINK("http://gitlab.osmosys.co/incident-reporter/incident-reporter-api/-/merge_requests/4444", "feat: add setup apis for incident management fir category")</f>
        <v/>
      </c>
      <c r="G1696" t="inlineStr">
        <is>
          <t>feat/incident-management-category</t>
        </is>
      </c>
      <c r="H1696" t="inlineStr">
        <is>
          <t>sprint-19</t>
        </is>
      </c>
      <c r="I1696" t="inlineStr">
        <is>
          <t>merged</t>
        </is>
      </c>
      <c r="J1696" t="inlineStr">
        <is>
          <t>33a0979bb21d5207ceaf24263c4008f713cc7a6b</t>
        </is>
      </c>
      <c r="K1696">
        <f>HYPERLINK("http://gitlab.osmosys.co/incident-reporter/incident-reporter-api/-/merge_requests/4444#note_246042", "Updated")</f>
        <v/>
      </c>
      <c r="L1696" t="inlineStr">
        <is>
          <t>2025-08-02 10:50:57.523 IST</t>
        </is>
      </c>
      <c r="M1696" t="inlineStr">
        <is>
          <t>Mohit Pargaie</t>
        </is>
      </c>
      <c r="N1696" t="inlineStr">
        <is>
          <t>No</t>
        </is>
      </c>
      <c r="O1696" t="inlineStr">
        <is>
          <t>Yes</t>
        </is>
      </c>
      <c r="P1696" t="inlineStr">
        <is>
          <t>Sindhusha</t>
        </is>
      </c>
      <c r="Q1696" t="inlineStr">
        <is>
          <t>Bad</t>
        </is>
      </c>
    </row>
    <row r="1697">
      <c r="A1697" t="inlineStr">
        <is>
          <t>mohit.p</t>
        </is>
      </c>
      <c r="B1697" t="inlineStr">
        <is>
          <t>Mohit Pargaie</t>
        </is>
      </c>
      <c r="C1697" t="inlineStr">
        <is>
          <t>mohit.p@osmosys.co</t>
        </is>
      </c>
      <c r="D1697" t="inlineStr">
        <is>
          <t>incident-reporter</t>
        </is>
      </c>
      <c r="E1697">
        <f>HYPERLINK("http://gitlab.osmosys.co/incident-reporter/incident-reporter-api", "OQSHA-API")</f>
        <v/>
      </c>
      <c r="F1697">
        <f>HYPERLINK("http://gitlab.osmosys.co/incident-reporter/incident-reporter-api/-/merge_requests/4444", "feat: add setup apis for incident management fir category")</f>
        <v/>
      </c>
      <c r="G1697" t="inlineStr">
        <is>
          <t>feat/incident-management-category</t>
        </is>
      </c>
      <c r="H1697" t="inlineStr">
        <is>
          <t>sprint-19</t>
        </is>
      </c>
      <c r="I1697" t="inlineStr">
        <is>
          <t>merged</t>
        </is>
      </c>
      <c r="J1697" t="inlineStr">
        <is>
          <t>4926e60eb6990a02562f82bddc41d9488235eff2</t>
        </is>
      </c>
      <c r="K1697">
        <f>HYPERLINK("http://gitlab.osmosys.co/incident-reporter/incident-reporter-api/-/merge_requests/4444#note_245987", "update IX to idx")</f>
        <v/>
      </c>
      <c r="L1697" t="inlineStr">
        <is>
          <t>2025-08-02 08:36:18.272 IST</t>
        </is>
      </c>
      <c r="M1697" t="inlineStr">
        <is>
          <t>Sindhusha</t>
        </is>
      </c>
      <c r="N1697" t="inlineStr">
        <is>
          <t>Yes</t>
        </is>
      </c>
      <c r="O1697" t="inlineStr">
        <is>
          <t>Yes</t>
        </is>
      </c>
      <c r="P1697" t="inlineStr">
        <is>
          <t>Sindhusha</t>
        </is>
      </c>
      <c r="Q1697" t="inlineStr">
        <is>
          <t>Bad</t>
        </is>
      </c>
    </row>
    <row r="1698">
      <c r="A1698" t="inlineStr">
        <is>
          <t>mohit.p</t>
        </is>
      </c>
      <c r="B1698" t="inlineStr">
        <is>
          <t>Mohit Pargaie</t>
        </is>
      </c>
      <c r="C1698" t="inlineStr">
        <is>
          <t>mohit.p@osmosys.co</t>
        </is>
      </c>
      <c r="D1698" t="inlineStr">
        <is>
          <t>incident-reporter</t>
        </is>
      </c>
      <c r="E1698">
        <f>HYPERLINK("http://gitlab.osmosys.co/incident-reporter/incident-reporter-api", "OQSHA-API")</f>
        <v/>
      </c>
      <c r="F1698">
        <f>HYPERLINK("http://gitlab.osmosys.co/incident-reporter/incident-reporter-api/-/merge_requests/4444", "feat: add setup apis for incident management fir category")</f>
        <v/>
      </c>
      <c r="G1698" t="inlineStr">
        <is>
          <t>feat/incident-management-category</t>
        </is>
      </c>
      <c r="H1698" t="inlineStr">
        <is>
          <t>sprint-19</t>
        </is>
      </c>
      <c r="I1698" t="inlineStr">
        <is>
          <t>merged</t>
        </is>
      </c>
      <c r="J1698" t="inlineStr">
        <is>
          <t>4926e60eb6990a02562f82bddc41d9488235eff2</t>
        </is>
      </c>
      <c r="K1698">
        <f>HYPERLINK("http://gitlab.osmosys.co/incident-reporter/incident-reporter-api/-/merge_requests/4444#note_246041", "updated it.")</f>
        <v/>
      </c>
      <c r="L1698" t="inlineStr">
        <is>
          <t>2025-08-02 10:50:53.106 IST</t>
        </is>
      </c>
      <c r="M1698" t="inlineStr">
        <is>
          <t>Mohit Pargaie</t>
        </is>
      </c>
      <c r="N1698" t="inlineStr">
        <is>
          <t>No</t>
        </is>
      </c>
      <c r="O1698" t="inlineStr">
        <is>
          <t>Yes</t>
        </is>
      </c>
      <c r="P1698" t="inlineStr">
        <is>
          <t>Sindhusha</t>
        </is>
      </c>
      <c r="Q1698" t="inlineStr">
        <is>
          <t>Bad</t>
        </is>
      </c>
    </row>
    <row r="1699">
      <c r="A1699" t="inlineStr">
        <is>
          <t>mohit.p</t>
        </is>
      </c>
      <c r="B1699" t="inlineStr">
        <is>
          <t>Mohit Pargaie</t>
        </is>
      </c>
      <c r="C1699" t="inlineStr">
        <is>
          <t>mohit.p@osmosys.co</t>
        </is>
      </c>
      <c r="D1699" t="inlineStr">
        <is>
          <t>incident-reporter</t>
        </is>
      </c>
      <c r="E1699">
        <f>HYPERLINK("http://gitlab.osmosys.co/incident-reporter/incident-reporter-api", "OQSHA-API")</f>
        <v/>
      </c>
      <c r="F1699">
        <f>HYPERLINK("http://gitlab.osmosys.co/incident-reporter/incident-reporter-api/-/merge_requests/4435", "feat: update code for update apis to support comments")</f>
        <v/>
      </c>
      <c r="G1699" t="inlineStr">
        <is>
          <t>feat/merge-comments-apis</t>
        </is>
      </c>
      <c r="H1699" t="inlineStr">
        <is>
          <t>sprint-19</t>
        </is>
      </c>
      <c r="I1699" t="inlineStr">
        <is>
          <t>merged</t>
        </is>
      </c>
      <c r="J1699" t="inlineStr"/>
      <c r="K1699" t="inlineStr"/>
      <c r="L1699" t="inlineStr"/>
      <c r="M1699" t="inlineStr"/>
      <c r="N1699" t="inlineStr"/>
      <c r="O1699" t="inlineStr"/>
      <c r="P1699" t="inlineStr"/>
      <c r="Q1699" t="inlineStr"/>
    </row>
    <row r="1700">
      <c r="A1700" t="inlineStr">
        <is>
          <t>mohit.p</t>
        </is>
      </c>
      <c r="B1700" t="inlineStr">
        <is>
          <t>Mohit Pargaie</t>
        </is>
      </c>
      <c r="C1700" t="inlineStr">
        <is>
          <t>mohit.p@osmosys.co</t>
        </is>
      </c>
      <c r="D1700" t="inlineStr">
        <is>
          <t>incident-reporter</t>
        </is>
      </c>
      <c r="E1700">
        <f>HYPERLINK("http://gitlab.osmosys.co/incident-reporter/incident-reporter-api", "OQSHA-API")</f>
        <v/>
      </c>
      <c r="F1700">
        <f>HYPERLINK("http://gitlab.osmosys.co/incident-reporter/incident-reporter-api/-/merge_requests/4417", "feat: add api to post quiz answers")</f>
        <v/>
      </c>
      <c r="G1700" t="inlineStr">
        <is>
          <t>feat/training-quiz-answers</t>
        </is>
      </c>
      <c r="H1700" t="inlineStr">
        <is>
          <t>sprint-19</t>
        </is>
      </c>
      <c r="I1700" t="inlineStr">
        <is>
          <t>merged</t>
        </is>
      </c>
      <c r="J1700" t="inlineStr">
        <is>
          <t>d5a5be20ac6b83a1757472b42f9cb6becfa43d43</t>
        </is>
      </c>
      <c r="K1700">
        <f>HYPERLINK("http://gitlab.osmosys.co/incident-reporter/incident-reporter-api/-/merge_requests/4417#note_245649", "this got updated, @abhinav.s  updated it. CHeck &amp; have the same ENUMs")</f>
        <v/>
      </c>
      <c r="L1700" t="inlineStr">
        <is>
          <t>2025-08-01 17:19:27.806 IST</t>
        </is>
      </c>
      <c r="M1700" t="inlineStr">
        <is>
          <t>Sindhusha</t>
        </is>
      </c>
      <c r="N1700" t="inlineStr">
        <is>
          <t>Yes</t>
        </is>
      </c>
      <c r="O1700" t="inlineStr">
        <is>
          <t>Yes</t>
        </is>
      </c>
      <c r="P1700" t="inlineStr">
        <is>
          <t>Sindhusha</t>
        </is>
      </c>
      <c r="Q1700" t="inlineStr">
        <is>
          <t>Bad</t>
        </is>
      </c>
    </row>
    <row r="1701">
      <c r="A1701" t="inlineStr">
        <is>
          <t>mohit.p</t>
        </is>
      </c>
      <c r="B1701" t="inlineStr">
        <is>
          <t>Mohit Pargaie</t>
        </is>
      </c>
      <c r="C1701" t="inlineStr">
        <is>
          <t>mohit.p@osmosys.co</t>
        </is>
      </c>
      <c r="D1701" t="inlineStr">
        <is>
          <t>incident-reporter</t>
        </is>
      </c>
      <c r="E1701">
        <f>HYPERLINK("http://gitlab.osmosys.co/incident-reporter/incident-reporter-api", "OQSHA-API")</f>
        <v/>
      </c>
      <c r="F1701">
        <f>HYPERLINK("http://gitlab.osmosys.co/incident-reporter/incident-reporter-api/-/merge_requests/4417", "feat: add api to post quiz answers")</f>
        <v/>
      </c>
      <c r="G1701" t="inlineStr">
        <is>
          <t>feat/training-quiz-answers</t>
        </is>
      </c>
      <c r="H1701" t="inlineStr">
        <is>
          <t>sprint-19</t>
        </is>
      </c>
      <c r="I1701" t="inlineStr">
        <is>
          <t>merged</t>
        </is>
      </c>
      <c r="J1701" t="inlineStr">
        <is>
          <t>d5a5be20ac6b83a1757472b42f9cb6becfa43d43</t>
        </is>
      </c>
      <c r="K1701">
        <f>HYPERLINK("http://gitlab.osmosys.co/incident-reporter/incident-reporter-api/-/merge_requests/4417#note_245651", "Yes @sindhusha.b I have informed him to update")</f>
        <v/>
      </c>
      <c r="L1701" t="inlineStr">
        <is>
          <t>2025-08-01 17:20:11.072 IST</t>
        </is>
      </c>
      <c r="M1701" t="inlineStr">
        <is>
          <t>Abhinav Srivastava</t>
        </is>
      </c>
      <c r="N1701" t="inlineStr">
        <is>
          <t>Yes</t>
        </is>
      </c>
      <c r="O1701" t="inlineStr">
        <is>
          <t>Yes</t>
        </is>
      </c>
      <c r="P1701" t="inlineStr">
        <is>
          <t>Sindhusha</t>
        </is>
      </c>
      <c r="Q1701" t="inlineStr">
        <is>
          <t>Bad</t>
        </is>
      </c>
    </row>
    <row r="1702">
      <c r="A1702" t="inlineStr">
        <is>
          <t>mohit.p</t>
        </is>
      </c>
      <c r="B1702" t="inlineStr">
        <is>
          <t>Mohit Pargaie</t>
        </is>
      </c>
      <c r="C1702" t="inlineStr">
        <is>
          <t>mohit.p@osmosys.co</t>
        </is>
      </c>
      <c r="D1702" t="inlineStr">
        <is>
          <t>incident-reporter</t>
        </is>
      </c>
      <c r="E1702">
        <f>HYPERLINK("http://gitlab.osmosys.co/incident-reporter/incident-reporter-api", "OQSHA-API")</f>
        <v/>
      </c>
      <c r="F1702">
        <f>HYPERLINK("http://gitlab.osmosys.co/incident-reporter/incident-reporter-api/-/merge_requests/4417", "feat: add api to post quiz answers")</f>
        <v/>
      </c>
      <c r="G1702" t="inlineStr">
        <is>
          <t>feat/training-quiz-answers</t>
        </is>
      </c>
      <c r="H1702" t="inlineStr">
        <is>
          <t>sprint-19</t>
        </is>
      </c>
      <c r="I1702" t="inlineStr">
        <is>
          <t>merged</t>
        </is>
      </c>
      <c r="J1702" t="inlineStr">
        <is>
          <t>d5a5be20ac6b83a1757472b42f9cb6becfa43d43</t>
        </is>
      </c>
      <c r="K1702">
        <f>HYPERLINK("http://gitlab.osmosys.co/incident-reporter/incident-reporter-api/-/merge_requests/4417#note_245691", "updated")</f>
        <v/>
      </c>
      <c r="L1702" t="inlineStr">
        <is>
          <t>2025-08-01 18:20:13.894 IST</t>
        </is>
      </c>
      <c r="M1702" t="inlineStr">
        <is>
          <t>Mohit Pargaie</t>
        </is>
      </c>
      <c r="N1702" t="inlineStr">
        <is>
          <t>No</t>
        </is>
      </c>
      <c r="O1702" t="inlineStr">
        <is>
          <t>Yes</t>
        </is>
      </c>
      <c r="P1702" t="inlineStr">
        <is>
          <t>Sindhusha</t>
        </is>
      </c>
      <c r="Q1702" t="inlineStr">
        <is>
          <t>Bad</t>
        </is>
      </c>
    </row>
    <row r="1703">
      <c r="A1703" t="inlineStr">
        <is>
          <t>mohit.p</t>
        </is>
      </c>
      <c r="B1703" t="inlineStr">
        <is>
          <t>Mohit Pargaie</t>
        </is>
      </c>
      <c r="C1703" t="inlineStr">
        <is>
          <t>mohit.p@osmosys.co</t>
        </is>
      </c>
      <c r="D1703" t="inlineStr">
        <is>
          <t>incident-reporter</t>
        </is>
      </c>
      <c r="E1703">
        <f>HYPERLINK("http://gitlab.osmosys.co/incident-reporter/incident-reporter-api", "OQSHA-API")</f>
        <v/>
      </c>
      <c r="F1703">
        <f>HYPERLINK("http://gitlab.osmosys.co/incident-reporter/incident-reporter-api/-/merge_requests/4417", "feat: add api to post quiz answers")</f>
        <v/>
      </c>
      <c r="G1703" t="inlineStr">
        <is>
          <t>feat/training-quiz-answers</t>
        </is>
      </c>
      <c r="H1703" t="inlineStr">
        <is>
          <t>sprint-19</t>
        </is>
      </c>
      <c r="I1703" t="inlineStr">
        <is>
          <t>merged</t>
        </is>
      </c>
      <c r="J1703" t="inlineStr">
        <is>
          <t>3126fd1f1894130f19def0565df143a3c0a55fbc</t>
        </is>
      </c>
      <c r="K1703">
        <f>HYPERLINK("http://gitlab.osmosys.co/incident-reporter/incident-reporter-api/-/merge_requests/4417#note_245656", "we don't need text value, we don't support textual questions")</f>
        <v/>
      </c>
      <c r="L1703" t="inlineStr">
        <is>
          <t>2025-08-01 17:27:55.254 IST</t>
        </is>
      </c>
      <c r="M1703" t="inlineStr">
        <is>
          <t>Sindhusha</t>
        </is>
      </c>
      <c r="N1703" t="inlineStr">
        <is>
          <t>Yes</t>
        </is>
      </c>
      <c r="O1703" t="inlineStr">
        <is>
          <t>Yes</t>
        </is>
      </c>
      <c r="P1703" t="inlineStr">
        <is>
          <t>Sindhusha</t>
        </is>
      </c>
      <c r="Q1703" t="inlineStr">
        <is>
          <t>Bad</t>
        </is>
      </c>
    </row>
    <row r="1704">
      <c r="A1704" t="inlineStr">
        <is>
          <t>mohit.p</t>
        </is>
      </c>
      <c r="B1704" t="inlineStr">
        <is>
          <t>Mohit Pargaie</t>
        </is>
      </c>
      <c r="C1704" t="inlineStr">
        <is>
          <t>mohit.p@osmosys.co</t>
        </is>
      </c>
      <c r="D1704" t="inlineStr">
        <is>
          <t>incident-reporter</t>
        </is>
      </c>
      <c r="E1704">
        <f>HYPERLINK("http://gitlab.osmosys.co/incident-reporter/incident-reporter-api", "OQSHA-API")</f>
        <v/>
      </c>
      <c r="F1704">
        <f>HYPERLINK("http://gitlab.osmosys.co/incident-reporter/incident-reporter-api/-/merge_requests/4417", "feat: add api to post quiz answers")</f>
        <v/>
      </c>
      <c r="G1704" t="inlineStr">
        <is>
          <t>feat/training-quiz-answers</t>
        </is>
      </c>
      <c r="H1704" t="inlineStr">
        <is>
          <t>sprint-19</t>
        </is>
      </c>
      <c r="I1704" t="inlineStr">
        <is>
          <t>merged</t>
        </is>
      </c>
      <c r="J1704" t="inlineStr">
        <is>
          <t>3126fd1f1894130f19def0565df143a3c0a55fbc</t>
        </is>
      </c>
      <c r="K1704">
        <f>HYPERLINK("http://gitlab.osmosys.co/incident-reporter/incident-reporter-api/-/merge_requests/4417#note_245695", "removed")</f>
        <v/>
      </c>
      <c r="L1704" t="inlineStr">
        <is>
          <t>2025-08-01 18:21:40.014 IST</t>
        </is>
      </c>
      <c r="M1704" t="inlineStr">
        <is>
          <t>Mohit Pargaie</t>
        </is>
      </c>
      <c r="N1704" t="inlineStr">
        <is>
          <t>No</t>
        </is>
      </c>
      <c r="O1704" t="inlineStr">
        <is>
          <t>Yes</t>
        </is>
      </c>
      <c r="P1704" t="inlineStr">
        <is>
          <t>Sindhusha</t>
        </is>
      </c>
      <c r="Q1704" t="inlineStr">
        <is>
          <t>Bad</t>
        </is>
      </c>
    </row>
    <row r="1705">
      <c r="A1705" t="inlineStr">
        <is>
          <t>mohit.p</t>
        </is>
      </c>
      <c r="B1705" t="inlineStr">
        <is>
          <t>Mohit Pargaie</t>
        </is>
      </c>
      <c r="C1705" t="inlineStr">
        <is>
          <t>mohit.p@osmosys.co</t>
        </is>
      </c>
      <c r="D1705" t="inlineStr">
        <is>
          <t>incident-reporter</t>
        </is>
      </c>
      <c r="E1705">
        <f>HYPERLINK("http://gitlab.osmosys.co/incident-reporter/incident-reporter-api", "OQSHA-API")</f>
        <v/>
      </c>
      <c r="F1705">
        <f>HYPERLINK("http://gitlab.osmosys.co/incident-reporter/incident-reporter-api/-/merge_requests/4417", "feat: add api to post quiz answers")</f>
        <v/>
      </c>
      <c r="G1705" t="inlineStr">
        <is>
          <t>feat/training-quiz-answers</t>
        </is>
      </c>
      <c r="H1705" t="inlineStr">
        <is>
          <t>sprint-19</t>
        </is>
      </c>
      <c r="I1705" t="inlineStr">
        <is>
          <t>merged</t>
        </is>
      </c>
      <c r="J1705" t="inlineStr">
        <is>
          <t>a156fc4a7e7c84d64ac35b829189935729835a01</t>
        </is>
      </c>
      <c r="K1705">
        <f>HYPERLINK("http://gitlab.osmosys.co/incident-reporter/incident-reporter-api/-/merge_requests/4417#note_245718", "Is this format issue??
ALso where is auth middleware?")</f>
        <v/>
      </c>
      <c r="L1705" t="inlineStr">
        <is>
          <t>2025-08-01 18:38:49.769 IST</t>
        </is>
      </c>
      <c r="M1705" t="inlineStr">
        <is>
          <t>Sindhusha</t>
        </is>
      </c>
      <c r="N1705" t="inlineStr">
        <is>
          <t>Yes</t>
        </is>
      </c>
      <c r="O1705" t="inlineStr">
        <is>
          <t>Yes</t>
        </is>
      </c>
      <c r="P1705" t="inlineStr">
        <is>
          <t>Sindhusha</t>
        </is>
      </c>
      <c r="Q1705" t="inlineStr">
        <is>
          <t>Bad</t>
        </is>
      </c>
    </row>
    <row r="1706">
      <c r="A1706" t="inlineStr">
        <is>
          <t>mohit.p</t>
        </is>
      </c>
      <c r="B1706" t="inlineStr">
        <is>
          <t>Mohit Pargaie</t>
        </is>
      </c>
      <c r="C1706" t="inlineStr">
        <is>
          <t>mohit.p@osmosys.co</t>
        </is>
      </c>
      <c r="D1706" t="inlineStr">
        <is>
          <t>incident-reporter</t>
        </is>
      </c>
      <c r="E1706">
        <f>HYPERLINK("http://gitlab.osmosys.co/incident-reporter/incident-reporter-api", "OQSHA-API")</f>
        <v/>
      </c>
      <c r="F1706">
        <f>HYPERLINK("http://gitlab.osmosys.co/incident-reporter/incident-reporter-api/-/merge_requests/4417", "feat: add api to post quiz answers")</f>
        <v/>
      </c>
      <c r="G1706" t="inlineStr">
        <is>
          <t>feat/training-quiz-answers</t>
        </is>
      </c>
      <c r="H1706" t="inlineStr">
        <is>
          <t>sprint-19</t>
        </is>
      </c>
      <c r="I1706" t="inlineStr">
        <is>
          <t>merged</t>
        </is>
      </c>
      <c r="J1706" t="inlineStr">
        <is>
          <t>a156fc4a7e7c84d64ac35b829189935729835a01</t>
        </is>
      </c>
      <c r="K1706">
        <f>HYPERLINK("http://gitlab.osmosys.co/incident-reporter/incident-reporter-api/-/merge_requests/4417#note_245728", "added middleware acm authorize")</f>
        <v/>
      </c>
      <c r="L1706" t="inlineStr">
        <is>
          <t>2025-08-01 18:43:21.814 IST</t>
        </is>
      </c>
      <c r="M1706" t="inlineStr">
        <is>
          <t>Mohit Pargaie</t>
        </is>
      </c>
      <c r="N1706" t="inlineStr">
        <is>
          <t>No</t>
        </is>
      </c>
      <c r="O1706" t="inlineStr">
        <is>
          <t>Yes</t>
        </is>
      </c>
      <c r="P1706" t="inlineStr">
        <is>
          <t>Sindhusha</t>
        </is>
      </c>
      <c r="Q1706" t="inlineStr">
        <is>
          <t>Bad</t>
        </is>
      </c>
    </row>
    <row r="1707">
      <c r="A1707" t="inlineStr">
        <is>
          <t>mohit.p</t>
        </is>
      </c>
      <c r="B1707" t="inlineStr">
        <is>
          <t>Mohit Pargaie</t>
        </is>
      </c>
      <c r="C1707" t="inlineStr">
        <is>
          <t>mohit.p@osmosys.co</t>
        </is>
      </c>
      <c r="D1707" t="inlineStr">
        <is>
          <t>incident-reporter</t>
        </is>
      </c>
      <c r="E1707">
        <f>HYPERLINK("http://gitlab.osmosys.co/incident-reporter/incident-reporter-api", "OQSHA-API")</f>
        <v/>
      </c>
      <c r="F1707">
        <f>HYPERLINK("http://gitlab.osmosys.co/incident-reporter/incident-reporter-api/-/merge_requests/4395", "fix: update code to validate before inserting statuses for a org")</f>
        <v/>
      </c>
      <c r="G1707" t="inlineStr">
        <is>
          <t>fix/organisation-default-status</t>
        </is>
      </c>
      <c r="H1707" t="inlineStr">
        <is>
          <t>sprint-18</t>
        </is>
      </c>
      <c r="I1707" t="inlineStr">
        <is>
          <t>merged</t>
        </is>
      </c>
      <c r="J1707" t="inlineStr"/>
      <c r="K1707" t="inlineStr"/>
      <c r="L1707" t="inlineStr"/>
      <c r="M1707" t="inlineStr"/>
      <c r="N1707" t="inlineStr"/>
      <c r="O1707" t="inlineStr"/>
      <c r="P1707" t="inlineStr"/>
      <c r="Q1707" t="inlineStr"/>
    </row>
    <row r="1708">
      <c r="A1708" t="inlineStr">
        <is>
          <t>mohit.p</t>
        </is>
      </c>
      <c r="B1708" t="inlineStr">
        <is>
          <t>Mohit Pargaie</t>
        </is>
      </c>
      <c r="C1708" t="inlineStr">
        <is>
          <t>mohit.p@osmosys.co</t>
        </is>
      </c>
      <c r="D1708" t="inlineStr">
        <is>
          <t>incident-reporter</t>
        </is>
      </c>
      <c r="E1708">
        <f>HYPERLINK("http://gitlab.osmosys.co/incident-reporter/incident-reporter-api", "OQSHA-API")</f>
        <v/>
      </c>
      <c r="F1708">
        <f>HYPERLINK("http://gitlab.osmosys.co/incident-reporter/incident-reporter-api/-/merge_requests/4390", "fix: update logic to update pssr status while task is created")</f>
        <v/>
      </c>
      <c r="G1708" t="inlineStr">
        <is>
          <t>fix/pssr-status-change-fix</t>
        </is>
      </c>
      <c r="H1708" t="inlineStr">
        <is>
          <t>sprint-18</t>
        </is>
      </c>
      <c r="I1708" t="inlineStr">
        <is>
          <t>merged</t>
        </is>
      </c>
      <c r="J1708" t="inlineStr"/>
      <c r="K1708" t="inlineStr"/>
      <c r="L1708" t="inlineStr"/>
      <c r="M1708" t="inlineStr"/>
      <c r="N1708" t="inlineStr"/>
      <c r="O1708" t="inlineStr"/>
      <c r="P1708" t="inlineStr"/>
      <c r="Q1708" t="inlineStr"/>
    </row>
    <row r="1709">
      <c r="A1709" t="inlineStr">
        <is>
          <t>mohit.p</t>
        </is>
      </c>
      <c r="B1709" t="inlineStr">
        <is>
          <t>Mohit Pargaie</t>
        </is>
      </c>
      <c r="C1709" t="inlineStr">
        <is>
          <t>mohit.p@osmosys.co</t>
        </is>
      </c>
      <c r="D1709" t="inlineStr">
        <is>
          <t>incident-reporter</t>
        </is>
      </c>
      <c r="E1709">
        <f>HYPERLINK("http://gitlab.osmosys.co/incident-reporter/incident-reporter-api", "OQSHA-API")</f>
        <v/>
      </c>
      <c r="F1709">
        <f>HYPERLINK("http://gitlab.osmosys.co/incident-reporter/incident-reporter-api/-/merge_requests/4381", "fix: update migration code fo ptw company users")</f>
        <v/>
      </c>
      <c r="G1709" t="inlineStr">
        <is>
          <t>fix/migration-fix</t>
        </is>
      </c>
      <c r="H1709" t="inlineStr">
        <is>
          <t>sprint-18</t>
        </is>
      </c>
      <c r="I1709" t="inlineStr">
        <is>
          <t>merged</t>
        </is>
      </c>
      <c r="J1709" t="inlineStr"/>
      <c r="K1709" t="inlineStr"/>
      <c r="L1709" t="inlineStr"/>
      <c r="M1709" t="inlineStr"/>
      <c r="N1709" t="inlineStr"/>
      <c r="O1709" t="inlineStr"/>
      <c r="P1709" t="inlineStr"/>
      <c r="Q1709" t="inlineStr"/>
    </row>
    <row r="1710">
      <c r="A1710" t="inlineStr">
        <is>
          <t>mohit.p</t>
        </is>
      </c>
      <c r="B1710" t="inlineStr">
        <is>
          <t>Mohit Pargaie</t>
        </is>
      </c>
      <c r="C1710" t="inlineStr">
        <is>
          <t>mohit.p@osmosys.co</t>
        </is>
      </c>
      <c r="D1710" t="inlineStr">
        <is>
          <t>incident-reporter</t>
        </is>
      </c>
      <c r="E1710">
        <f>HYPERLINK("http://gitlab.osmosys.co/incident-reporter/incident-reporter-api", "OQSHA-API")</f>
        <v/>
      </c>
      <c r="F1710">
        <f>HYPERLINK("http://gitlab.osmosys.co/incident-reporter/incident-reporter-api/-/merge_requests/4379", "fix: update migraiton files for ptw company users table")</f>
        <v/>
      </c>
      <c r="G1710" t="inlineStr">
        <is>
          <t>fix/update-company-users-migration</t>
        </is>
      </c>
      <c r="H1710" t="inlineStr">
        <is>
          <t>sprint-18</t>
        </is>
      </c>
      <c r="I1710" t="inlineStr">
        <is>
          <t>closed</t>
        </is>
      </c>
      <c r="J1710" t="inlineStr"/>
      <c r="K1710" t="inlineStr"/>
      <c r="L1710" t="inlineStr"/>
      <c r="M1710" t="inlineStr"/>
      <c r="N1710" t="inlineStr"/>
      <c r="O1710" t="inlineStr"/>
      <c r="P1710" t="inlineStr"/>
      <c r="Q1710" t="inlineStr"/>
    </row>
    <row r="1711">
      <c r="A1711" t="inlineStr">
        <is>
          <t>mohit.p</t>
        </is>
      </c>
      <c r="B1711" t="inlineStr">
        <is>
          <t>Mohit Pargaie</t>
        </is>
      </c>
      <c r="C1711" t="inlineStr">
        <is>
          <t>mohit.p@osmosys.co</t>
        </is>
      </c>
      <c r="D1711" t="inlineStr">
        <is>
          <t>incident-reporter</t>
        </is>
      </c>
      <c r="E1711">
        <f>HYPERLINK("http://gitlab.osmosys.co/incident-reporter/incident-reporter-api", "OQSHA-API")</f>
        <v/>
      </c>
      <c r="F1711">
        <f>HYPERLINK("http://gitlab.osmosys.co/incident-reporter/incident-reporter-api/-/merge_requests/4376", "fix: update comments header for multiple subsheets in tickets csv")</f>
        <v/>
      </c>
      <c r="G1711" t="inlineStr">
        <is>
          <t>fix/ticket-comments</t>
        </is>
      </c>
      <c r="H1711" t="inlineStr">
        <is>
          <t>sprint-18</t>
        </is>
      </c>
      <c r="I1711" t="inlineStr">
        <is>
          <t>merged</t>
        </is>
      </c>
      <c r="J1711" t="inlineStr"/>
      <c r="K1711" t="inlineStr"/>
      <c r="L1711" t="inlineStr"/>
      <c r="M1711" t="inlineStr"/>
      <c r="N1711" t="inlineStr"/>
      <c r="O1711" t="inlineStr"/>
      <c r="P1711" t="inlineStr"/>
      <c r="Q1711" t="inlineStr"/>
    </row>
    <row r="1712">
      <c r="A1712" t="inlineStr">
        <is>
          <t>mohit.p</t>
        </is>
      </c>
      <c r="B1712" t="inlineStr">
        <is>
          <t>Mohit Pargaie</t>
        </is>
      </c>
      <c r="C1712" t="inlineStr">
        <is>
          <t>mohit.p@osmosys.co</t>
        </is>
      </c>
      <c r="D1712" t="inlineStr">
        <is>
          <t>incident-reporter</t>
        </is>
      </c>
      <c r="E1712">
        <f>HYPERLINK("http://gitlab.osmosys.co/incident-reporter/incident-reporter-api", "OQSHA-API")</f>
        <v/>
      </c>
      <c r="F1712">
        <f>HYPERLINK("http://gitlab.osmosys.co/incident-reporter/incident-reporter-api/-/merge_requests/4374", "feat: add logic to send emails to ptw company user emails")</f>
        <v/>
      </c>
      <c r="G1712" t="inlineStr">
        <is>
          <t>feat/company-users-email</t>
        </is>
      </c>
      <c r="H1712" t="inlineStr">
        <is>
          <t>sprint-19</t>
        </is>
      </c>
      <c r="I1712" t="inlineStr">
        <is>
          <t>merged</t>
        </is>
      </c>
      <c r="J1712" t="inlineStr"/>
      <c r="K1712" t="inlineStr"/>
      <c r="L1712" t="inlineStr"/>
      <c r="M1712" t="inlineStr"/>
      <c r="N1712" t="inlineStr"/>
      <c r="O1712" t="inlineStr"/>
      <c r="P1712" t="inlineStr"/>
      <c r="Q1712" t="inlineStr"/>
    </row>
    <row r="1713">
      <c r="A1713" t="inlineStr">
        <is>
          <t>mohit.p</t>
        </is>
      </c>
      <c r="B1713" t="inlineStr">
        <is>
          <t>Mohit Pargaie</t>
        </is>
      </c>
      <c r="C1713" t="inlineStr">
        <is>
          <t>mohit.p@osmosys.co</t>
        </is>
      </c>
      <c r="D1713" t="inlineStr">
        <is>
          <t>incident-reporter</t>
        </is>
      </c>
      <c r="E1713">
        <f>HYPERLINK("http://gitlab.osmosys.co/incident-reporter/incident-reporter-api", "OQSHA-API")</f>
        <v/>
      </c>
      <c r="F1713">
        <f>HYPERLINK("http://gitlab.osmosys.co/incident-reporter/incident-reporter-api/-/merge_requests/4362", "fix: update code for ptw company users")</f>
        <v/>
      </c>
      <c r="G1713" t="inlineStr">
        <is>
          <t>fix/ptw-company-users</t>
        </is>
      </c>
      <c r="H1713" t="inlineStr">
        <is>
          <t>sprint-18</t>
        </is>
      </c>
      <c r="I1713" t="inlineStr">
        <is>
          <t>merged</t>
        </is>
      </c>
      <c r="J1713" t="inlineStr"/>
      <c r="K1713" t="inlineStr"/>
      <c r="L1713" t="inlineStr"/>
      <c r="M1713" t="inlineStr"/>
      <c r="N1713" t="inlineStr"/>
      <c r="O1713" t="inlineStr"/>
      <c r="P1713" t="inlineStr"/>
      <c r="Q1713" t="inlineStr"/>
    </row>
    <row r="1714">
      <c r="A1714" t="inlineStr">
        <is>
          <t>mohit.p</t>
        </is>
      </c>
      <c r="B1714" t="inlineStr">
        <is>
          <t>Mohit Pargaie</t>
        </is>
      </c>
      <c r="C1714" t="inlineStr">
        <is>
          <t>mohit.p@osmosys.co</t>
        </is>
      </c>
      <c r="D1714" t="inlineStr">
        <is>
          <t>incident-reporter</t>
        </is>
      </c>
      <c r="E1714">
        <f>HYPERLINK("http://gitlab.osmosys.co/incident-reporter/incident-reporter-api", "OQSHA-API")</f>
        <v/>
      </c>
      <c r="F1714">
        <f>HYPERLINK("http://gitlab.osmosys.co/incident-reporter/incident-reporter-api/-/merge_requests/4345", "fix: update comments column in csv export")</f>
        <v/>
      </c>
      <c r="G1714" t="inlineStr">
        <is>
          <t>fix/comment-csv</t>
        </is>
      </c>
      <c r="H1714" t="inlineStr">
        <is>
          <t>sprint-18</t>
        </is>
      </c>
      <c r="I1714" t="inlineStr">
        <is>
          <t>merged</t>
        </is>
      </c>
      <c r="J1714" t="inlineStr"/>
      <c r="K1714" t="inlineStr"/>
      <c r="L1714" t="inlineStr"/>
      <c r="M1714" t="inlineStr"/>
      <c r="N1714" t="inlineStr"/>
      <c r="O1714" t="inlineStr"/>
      <c r="P1714" t="inlineStr"/>
      <c r="Q1714" t="inlineStr"/>
    </row>
    <row r="1715">
      <c r="A1715" t="inlineStr">
        <is>
          <t>mohit.p</t>
        </is>
      </c>
      <c r="B1715" t="inlineStr">
        <is>
          <t>Mohit Pargaie</t>
        </is>
      </c>
      <c r="C1715" t="inlineStr">
        <is>
          <t>mohit.p@osmosys.co</t>
        </is>
      </c>
      <c r="D1715" t="inlineStr">
        <is>
          <t>incident-reporter</t>
        </is>
      </c>
      <c r="E1715">
        <f>HYPERLINK("http://gitlab.osmosys.co/incident-reporter/incident-reporter-api", "OQSHA-API")</f>
        <v/>
      </c>
      <c r="F1715">
        <f>HYPERLINK("http://gitlab.osmosys.co/incident-reporter/incident-reporter-api/-/merge_requests/4342", "fix: update due date to nullable field")</f>
        <v/>
      </c>
      <c r="G1715" t="inlineStr">
        <is>
          <t>fix/moc-duedate</t>
        </is>
      </c>
      <c r="H1715" t="inlineStr">
        <is>
          <t>sprint-18</t>
        </is>
      </c>
      <c r="I1715" t="inlineStr">
        <is>
          <t>merged</t>
        </is>
      </c>
      <c r="J1715" t="inlineStr"/>
      <c r="K1715" t="inlineStr"/>
      <c r="L1715" t="inlineStr"/>
      <c r="M1715" t="inlineStr"/>
      <c r="N1715" t="inlineStr"/>
      <c r="O1715" t="inlineStr"/>
      <c r="P1715" t="inlineStr"/>
      <c r="Q1715" t="inlineStr"/>
    </row>
    <row r="1716">
      <c r="A1716" t="inlineStr">
        <is>
          <t>mohit.p</t>
        </is>
      </c>
      <c r="B1716" t="inlineStr">
        <is>
          <t>Mohit Pargaie</t>
        </is>
      </c>
      <c r="C1716" t="inlineStr">
        <is>
          <t>mohit.p@osmosys.co</t>
        </is>
      </c>
      <c r="D1716" t="inlineStr">
        <is>
          <t>incident-reporter</t>
        </is>
      </c>
      <c r="E1716">
        <f>HYPERLINK("http://gitlab.osmosys.co/incident-reporter/incident-reporter-api", "OQSHA-API")</f>
        <v/>
      </c>
      <c r="F1716">
        <f>HYPERLINK("http://gitlab.osmosys.co/incident-reporter/incident-reporter-api/-/merge_requests/4340", "feat: add manual ptw into export csv")</f>
        <v/>
      </c>
      <c r="G1716" t="inlineStr">
        <is>
          <t>feat/manual-ptw</t>
        </is>
      </c>
      <c r="H1716" t="inlineStr">
        <is>
          <t>sprint-18</t>
        </is>
      </c>
      <c r="I1716" t="inlineStr">
        <is>
          <t>merged</t>
        </is>
      </c>
      <c r="J1716" t="inlineStr"/>
      <c r="K1716" t="inlineStr"/>
      <c r="L1716" t="inlineStr"/>
      <c r="M1716" t="inlineStr"/>
      <c r="N1716" t="inlineStr"/>
      <c r="O1716" t="inlineStr"/>
      <c r="P1716" t="inlineStr"/>
      <c r="Q1716" t="inlineStr"/>
    </row>
    <row r="1717">
      <c r="A1717" t="inlineStr">
        <is>
          <t>mohit.p</t>
        </is>
      </c>
      <c r="B1717" t="inlineStr">
        <is>
          <t>Mohit Pargaie</t>
        </is>
      </c>
      <c r="C1717" t="inlineStr">
        <is>
          <t>mohit.p@osmosys.co</t>
        </is>
      </c>
      <c r="D1717" t="inlineStr">
        <is>
          <t>incident-reporter</t>
        </is>
      </c>
      <c r="E1717">
        <f>HYPERLINK("http://gitlab.osmosys.co/incident-reporter/incident-reporter-api", "OQSHA-API")</f>
        <v/>
      </c>
      <c r="F1717">
        <f>HYPERLINK("http://gitlab.osmosys.co/incident-reporter/incident-reporter-api/-/merge_requests/4302", "feat: add code to associate pssr id with tasks in entity tasks table")</f>
        <v/>
      </c>
      <c r="G1717" t="inlineStr">
        <is>
          <t>feat/task-pssr-association</t>
        </is>
      </c>
      <c r="H1717" t="inlineStr">
        <is>
          <t>sprint-18</t>
        </is>
      </c>
      <c r="I1717" t="inlineStr">
        <is>
          <t>merged</t>
        </is>
      </c>
      <c r="J1717" t="inlineStr"/>
      <c r="K1717" t="inlineStr"/>
      <c r="L1717" t="inlineStr"/>
      <c r="M1717" t="inlineStr"/>
      <c r="N1717" t="inlineStr"/>
      <c r="O1717" t="inlineStr"/>
      <c r="P1717" t="inlineStr"/>
      <c r="Q1717" t="inlineStr"/>
    </row>
    <row r="1718">
      <c r="A1718" t="inlineStr">
        <is>
          <t>mohit.p</t>
        </is>
      </c>
      <c r="B1718" t="inlineStr">
        <is>
          <t>Mohit Pargaie</t>
        </is>
      </c>
      <c r="C1718" t="inlineStr">
        <is>
          <t>mohit.p@osmosys.co</t>
        </is>
      </c>
      <c r="D1718" t="inlineStr">
        <is>
          <t>incident-reporter</t>
        </is>
      </c>
      <c r="E1718">
        <f>HYPERLINK("http://gitlab.osmosys.co/incident-reporter/incident-reporter-api", "OQSHA-API")</f>
        <v/>
      </c>
      <c r="F1718">
        <f>HYPERLINK("http://gitlab.osmosys.co/incident-reporter/incident-reporter-api/-/merge_requests/4276", "fix: add status update option in task comment api")</f>
        <v/>
      </c>
      <c r="G1718" t="inlineStr">
        <is>
          <t>fix/task-comment-hotfix</t>
        </is>
      </c>
      <c r="H1718" t="inlineStr">
        <is>
          <t>sprint-17</t>
        </is>
      </c>
      <c r="I1718" t="inlineStr">
        <is>
          <t>merged</t>
        </is>
      </c>
      <c r="J1718" t="inlineStr"/>
      <c r="K1718" t="inlineStr"/>
      <c r="L1718" t="inlineStr"/>
      <c r="M1718" t="inlineStr"/>
      <c r="N1718" t="inlineStr"/>
      <c r="O1718" t="inlineStr"/>
      <c r="P1718" t="inlineStr"/>
      <c r="Q1718" t="inlineStr"/>
    </row>
    <row r="1719">
      <c r="A1719" t="inlineStr">
        <is>
          <t>mohit.p</t>
        </is>
      </c>
      <c r="B1719" t="inlineStr">
        <is>
          <t>Mohit Pargaie</t>
        </is>
      </c>
      <c r="C1719" t="inlineStr">
        <is>
          <t>mohit.p@osmosys.co</t>
        </is>
      </c>
      <c r="D1719" t="inlineStr">
        <is>
          <t>incident-reporter</t>
        </is>
      </c>
      <c r="E1719">
        <f>HYPERLINK("http://gitlab.osmosys.co/incident-reporter/incident-reporter-api", "OQSHA-API")</f>
        <v/>
      </c>
      <c r="F1719">
        <f>HYPERLINK("http://gitlab.osmosys.co/incident-reporter/incident-reporter-api/-/merge_requests/4269", "fix: add validation for new closable status column on overdue days")</f>
        <v/>
      </c>
      <c r="G1719" t="inlineStr">
        <is>
          <t>fix/tasks-hotfix</t>
        </is>
      </c>
      <c r="H1719" t="inlineStr">
        <is>
          <t>sprint-17</t>
        </is>
      </c>
      <c r="I1719" t="inlineStr">
        <is>
          <t>merged</t>
        </is>
      </c>
      <c r="J1719" t="inlineStr"/>
      <c r="K1719" t="inlineStr"/>
      <c r="L1719" t="inlineStr"/>
      <c r="M1719" t="inlineStr"/>
      <c r="N1719" t="inlineStr"/>
      <c r="O1719" t="inlineStr"/>
      <c r="P1719" t="inlineStr"/>
      <c r="Q1719" t="inlineStr"/>
    </row>
    <row r="1720">
      <c r="A1720" t="inlineStr">
        <is>
          <t>mohit.p</t>
        </is>
      </c>
      <c r="B1720" t="inlineStr">
        <is>
          <t>Mohit Pargaie</t>
        </is>
      </c>
      <c r="C1720" t="inlineStr">
        <is>
          <t>mohit.p@osmosys.co</t>
        </is>
      </c>
      <c r="D1720" t="inlineStr">
        <is>
          <t>incident-reporter</t>
        </is>
      </c>
      <c r="E1720">
        <f>HYPERLINK("http://gitlab.osmosys.co/incident-reporter/incident-reporter-api", "OQSHA-API")</f>
        <v/>
      </c>
      <c r="F1720">
        <f>HYPERLINK("http://gitlab.osmosys.co/incident-reporter/incident-reporter-api/-/merge_requests/4268", "fix: update code to add missing modules from get role by Id api")</f>
        <v/>
      </c>
      <c r="G1720" t="inlineStr">
        <is>
          <t>fix/module-hotfix</t>
        </is>
      </c>
      <c r="H1720" t="inlineStr">
        <is>
          <t>sprint-17</t>
        </is>
      </c>
      <c r="I1720" t="inlineStr">
        <is>
          <t>merged</t>
        </is>
      </c>
      <c r="J1720" t="inlineStr"/>
      <c r="K1720" t="inlineStr"/>
      <c r="L1720" t="inlineStr"/>
      <c r="M1720" t="inlineStr"/>
      <c r="N1720" t="inlineStr"/>
      <c r="O1720" t="inlineStr"/>
      <c r="P1720" t="inlineStr"/>
      <c r="Q1720" t="inlineStr"/>
    </row>
    <row r="1721">
      <c r="A1721" t="inlineStr">
        <is>
          <t>mohit.p</t>
        </is>
      </c>
      <c r="B1721" t="inlineStr">
        <is>
          <t>Mohit Pargaie</t>
        </is>
      </c>
      <c r="C1721" t="inlineStr">
        <is>
          <t>mohit.p@osmosys.co</t>
        </is>
      </c>
      <c r="D1721" t="inlineStr">
        <is>
          <t>incident-reporter</t>
        </is>
      </c>
      <c r="E1721">
        <f>HYPERLINK("http://gitlab.osmosys.co/incident-reporter/incident-reporter-api", "OQSHA-API")</f>
        <v/>
      </c>
      <c r="F1721">
        <f>HYPERLINK("http://gitlab.osmosys.co/incident-reporter/incident-reporter-api/-/merge_requests/4245", "fix: add overdue flag in task list and task details api response")</f>
        <v/>
      </c>
      <c r="G1721" t="inlineStr">
        <is>
          <t>fix/tasks-hotfix</t>
        </is>
      </c>
      <c r="H1721" t="inlineStr">
        <is>
          <t>sprint-17</t>
        </is>
      </c>
      <c r="I1721" t="inlineStr">
        <is>
          <t>merged</t>
        </is>
      </c>
      <c r="J1721" t="inlineStr"/>
      <c r="K1721" t="inlineStr"/>
      <c r="L1721" t="inlineStr"/>
      <c r="M1721" t="inlineStr"/>
      <c r="N1721" t="inlineStr"/>
      <c r="O1721" t="inlineStr"/>
      <c r="P1721" t="inlineStr"/>
      <c r="Q1721" t="inlineStr"/>
    </row>
    <row r="1722">
      <c r="A1722" t="inlineStr">
        <is>
          <t>mohit.p</t>
        </is>
      </c>
      <c r="B1722" t="inlineStr">
        <is>
          <t>Mohit Pargaie</t>
        </is>
      </c>
      <c r="C1722" t="inlineStr">
        <is>
          <t>mohit.p@osmosys.co</t>
        </is>
      </c>
      <c r="D1722" t="inlineStr">
        <is>
          <t>incident-reporter</t>
        </is>
      </c>
      <c r="E1722">
        <f>HYPERLINK("http://gitlab.osmosys.co/incident-reporter/incident-reporter-api", "OQSHA-API")</f>
        <v/>
      </c>
      <c r="F1722">
        <f>HYPERLINK("http://gitlab.osmosys.co/incident-reporter/incident-reporter-api/-/merge_requests/4244", "feat: add apis to delete employee medical records and medical type records")</f>
        <v/>
      </c>
      <c r="G1722" t="inlineStr">
        <is>
          <t>feat/delete-employee-medical</t>
        </is>
      </c>
      <c r="H1722" t="inlineStr">
        <is>
          <t>sprint-18</t>
        </is>
      </c>
      <c r="I1722" t="inlineStr">
        <is>
          <t>opened</t>
        </is>
      </c>
      <c r="J1722" t="inlineStr"/>
      <c r="K1722" t="inlineStr"/>
      <c r="L1722" t="inlineStr"/>
      <c r="M1722" t="inlineStr"/>
      <c r="N1722" t="inlineStr"/>
      <c r="O1722" t="inlineStr"/>
      <c r="P1722" t="inlineStr"/>
      <c r="Q1722" t="inlineStr"/>
    </row>
    <row r="1723">
      <c r="A1723" t="inlineStr">
        <is>
          <t>mohit.p</t>
        </is>
      </c>
      <c r="B1723" t="inlineStr">
        <is>
          <t>Mohit Pargaie</t>
        </is>
      </c>
      <c r="C1723" t="inlineStr">
        <is>
          <t>mohit.p@osmosys.co</t>
        </is>
      </c>
      <c r="D1723" t="inlineStr">
        <is>
          <t>incident-reporter</t>
        </is>
      </c>
      <c r="E1723">
        <f>HYPERLINK("http://gitlab.osmosys.co/incident-reporter/incident-reporter-api", "OQSHA-API")</f>
        <v/>
      </c>
      <c r="F1723">
        <f>HYPERLINK("http://gitlab.osmosys.co/incident-reporter/incident-reporter-api/-/merge_requests/4230", "feat: add default statuses for oranisations")</f>
        <v/>
      </c>
      <c r="G1723" t="inlineStr">
        <is>
          <t>feat/organisation-default-statuses</t>
        </is>
      </c>
      <c r="H1723" t="inlineStr">
        <is>
          <t>sprint-18</t>
        </is>
      </c>
      <c r="I1723" t="inlineStr">
        <is>
          <t>merged</t>
        </is>
      </c>
      <c r="J1723" t="inlineStr"/>
      <c r="K1723" t="inlineStr"/>
      <c r="L1723" t="inlineStr"/>
      <c r="M1723" t="inlineStr"/>
      <c r="N1723" t="inlineStr"/>
      <c r="O1723" t="inlineStr"/>
      <c r="P1723" t="inlineStr"/>
      <c r="Q1723" t="inlineStr"/>
    </row>
    <row r="1724">
      <c r="A1724" t="inlineStr">
        <is>
          <t>mohit.p</t>
        </is>
      </c>
      <c r="B1724" t="inlineStr">
        <is>
          <t>Mohit Pargaie</t>
        </is>
      </c>
      <c r="C1724" t="inlineStr">
        <is>
          <t>mohit.p@osmosys.co</t>
        </is>
      </c>
      <c r="D1724" t="inlineStr">
        <is>
          <t>incident-reporter</t>
        </is>
      </c>
      <c r="E1724">
        <f>HYPERLINK("http://gitlab.osmosys.co/incident-reporter/incident-reporter-api", "OQSHA-API")</f>
        <v/>
      </c>
      <c r="F1724">
        <f>HYPERLINK("http://gitlab.osmosys.co/incident-reporter/incident-reporter-api/-/merge_requests/4223", "feat: add new api to add incident comments and update status")</f>
        <v/>
      </c>
      <c r="G1724" t="inlineStr">
        <is>
          <t>feat/tickets-comments-api</t>
        </is>
      </c>
      <c r="H1724" t="inlineStr">
        <is>
          <t>sprint-18</t>
        </is>
      </c>
      <c r="I1724" t="inlineStr">
        <is>
          <t>opened</t>
        </is>
      </c>
      <c r="J1724" t="inlineStr"/>
      <c r="K1724" t="inlineStr"/>
      <c r="L1724" t="inlineStr"/>
      <c r="M1724" t="inlineStr"/>
      <c r="N1724" t="inlineStr"/>
      <c r="O1724" t="inlineStr"/>
      <c r="P1724" t="inlineStr"/>
      <c r="Q1724" t="inlineStr"/>
    </row>
    <row r="1725">
      <c r="A1725" t="inlineStr">
        <is>
          <t>mohit.p</t>
        </is>
      </c>
      <c r="B1725" t="inlineStr">
        <is>
          <t>Mohit Pargaie</t>
        </is>
      </c>
      <c r="C1725" t="inlineStr">
        <is>
          <t>mohit.p@osmosys.co</t>
        </is>
      </c>
      <c r="D1725" t="inlineStr">
        <is>
          <t>incident-reporter</t>
        </is>
      </c>
      <c r="E1725">
        <f>HYPERLINK("http://gitlab.osmosys.co/incident-reporter/incident-reporter-api", "OQSHA-API")</f>
        <v/>
      </c>
      <c r="F1725">
        <f>HYPERLINK("http://gitlab.osmosys.co/incident-reporter/incident-reporter-api/-/merge_requests/4198", "fix: update route to accept orgId and made changes in repo function to filter data accordingly")</f>
        <v/>
      </c>
      <c r="G1725" t="inlineStr">
        <is>
          <t>fix/asset-maintainance-route-fix</t>
        </is>
      </c>
      <c r="H1725" t="inlineStr">
        <is>
          <t>sprint-17</t>
        </is>
      </c>
      <c r="I1725" t="inlineStr">
        <is>
          <t>merged</t>
        </is>
      </c>
      <c r="J1725" t="inlineStr"/>
      <c r="K1725" t="inlineStr"/>
      <c r="L1725" t="inlineStr"/>
      <c r="M1725" t="inlineStr"/>
      <c r="N1725" t="inlineStr"/>
      <c r="O1725" t="inlineStr"/>
      <c r="P1725" t="inlineStr"/>
      <c r="Q1725" t="inlineStr"/>
    </row>
    <row r="1726">
      <c r="A1726" t="inlineStr">
        <is>
          <t>mohit.p</t>
        </is>
      </c>
      <c r="B1726" t="inlineStr">
        <is>
          <t>Mohit Pargaie</t>
        </is>
      </c>
      <c r="C1726" t="inlineStr">
        <is>
          <t>mohit.p@osmosys.co</t>
        </is>
      </c>
      <c r="D1726" t="inlineStr">
        <is>
          <t>incident-reporter</t>
        </is>
      </c>
      <c r="E1726">
        <f>HYPERLINK("http://gitlab.osmosys.co/incident-reporter/incident-reporter-api", "OQSHA-API")</f>
        <v/>
      </c>
      <c r="F1726">
        <f>HYPERLINK("http://gitlab.osmosys.co/incident-reporter/incident-reporter-api/-/merge_requests/4194", "fix: modified code to remove repo calls from inside the loops")</f>
        <v/>
      </c>
      <c r="G1726" t="inlineStr">
        <is>
          <t>feat/db-repo-improvements</t>
        </is>
      </c>
      <c r="H1726" t="inlineStr">
        <is>
          <t>sprint-19</t>
        </is>
      </c>
      <c r="I1726" t="inlineStr">
        <is>
          <t>merged</t>
        </is>
      </c>
      <c r="J1726" t="inlineStr"/>
      <c r="K1726" t="inlineStr"/>
      <c r="L1726" t="inlineStr"/>
      <c r="M1726" t="inlineStr"/>
      <c r="N1726" t="inlineStr"/>
      <c r="O1726" t="inlineStr"/>
      <c r="P1726" t="inlineStr"/>
      <c r="Q1726" t="inlineStr"/>
    </row>
    <row r="1727">
      <c r="A1727" t="inlineStr">
        <is>
          <t>mohit.p</t>
        </is>
      </c>
      <c r="B1727" t="inlineStr">
        <is>
          <t>Mohit Pargaie</t>
        </is>
      </c>
      <c r="C1727" t="inlineStr">
        <is>
          <t>mohit.p@osmosys.co</t>
        </is>
      </c>
      <c r="D1727" t="inlineStr">
        <is>
          <t>incident-reporter</t>
        </is>
      </c>
      <c r="E1727">
        <f>HYPERLINK("http://gitlab.osmosys.co/incident-reporter/incident-reporter-api", "OQSHA-API")</f>
        <v/>
      </c>
      <c r="F1727">
        <f>HYPERLINK("http://gitlab.osmosys.co/incident-reporter/incident-reporter-api/-/merge_requests/4188", "fix: update status column name in users export")</f>
        <v/>
      </c>
      <c r="G1727" t="inlineStr">
        <is>
          <t>fix/users-status-export</t>
        </is>
      </c>
      <c r="H1727" t="inlineStr">
        <is>
          <t>sprint-17</t>
        </is>
      </c>
      <c r="I1727" t="inlineStr">
        <is>
          <t>merged</t>
        </is>
      </c>
      <c r="J1727" t="inlineStr"/>
      <c r="K1727" t="inlineStr"/>
      <c r="L1727" t="inlineStr"/>
      <c r="M1727" t="inlineStr"/>
      <c r="N1727" t="inlineStr"/>
      <c r="O1727" t="inlineStr"/>
      <c r="P1727" t="inlineStr"/>
      <c r="Q1727" t="inlineStr"/>
    </row>
    <row r="1728">
      <c r="A1728" t="inlineStr">
        <is>
          <t>mohit.p</t>
        </is>
      </c>
      <c r="B1728" t="inlineStr">
        <is>
          <t>Mohit Pargaie</t>
        </is>
      </c>
      <c r="C1728" t="inlineStr">
        <is>
          <t>mohit.p@osmosys.co</t>
        </is>
      </c>
      <c r="D1728" t="inlineStr">
        <is>
          <t>incident-reporter</t>
        </is>
      </c>
      <c r="E1728">
        <f>HYPERLINK("http://gitlab.osmosys.co/incident-reporter/incident-reporter-api", "OQSHA-API")</f>
        <v/>
      </c>
      <c r="F1728">
        <f>HYPERLINK("http://gitlab.osmosys.co/incident-reporter/incident-reporter-api/-/merge_requests/4175", "feat: add changes in register org api to insert page flags")</f>
        <v/>
      </c>
      <c r="G1728" t="inlineStr">
        <is>
          <t>feat/register-org-pageflags</t>
        </is>
      </c>
      <c r="H1728" t="inlineStr">
        <is>
          <t>sprint-19</t>
        </is>
      </c>
      <c r="I1728" t="inlineStr">
        <is>
          <t>merged</t>
        </is>
      </c>
      <c r="J1728" t="inlineStr">
        <is>
          <t>18f86320c9eb660a6c4a260d5f194bba70ff0d34</t>
        </is>
      </c>
      <c r="K1728">
        <f>HYPERLINK("http://gitlab.osmosys.co/incident-reporter/incident-reporter-api/-/merge_requests/4175#note_242114", "As a JSON property, "HiraDocument" seems a better fit here.")</f>
        <v/>
      </c>
      <c r="L1728" t="inlineStr">
        <is>
          <t>2025-07-25 20:29:13.406 IST</t>
        </is>
      </c>
      <c r="M1728" t="inlineStr">
        <is>
          <t>Sameer Shaik</t>
        </is>
      </c>
      <c r="N1728" t="inlineStr">
        <is>
          <t>Yes</t>
        </is>
      </c>
      <c r="O1728" t="inlineStr">
        <is>
          <t>Yes</t>
        </is>
      </c>
      <c r="P1728" t="inlineStr">
        <is>
          <t>Sameer Shaik</t>
        </is>
      </c>
      <c r="Q1728" t="inlineStr">
        <is>
          <t>Bad</t>
        </is>
      </c>
    </row>
    <row r="1729">
      <c r="A1729" t="inlineStr">
        <is>
          <t>mohit.p</t>
        </is>
      </c>
      <c r="B1729" t="inlineStr">
        <is>
          <t>Mohit Pargaie</t>
        </is>
      </c>
      <c r="C1729" t="inlineStr">
        <is>
          <t>mohit.p@osmosys.co</t>
        </is>
      </c>
      <c r="D1729" t="inlineStr">
        <is>
          <t>incident-reporter</t>
        </is>
      </c>
      <c r="E1729">
        <f>HYPERLINK("http://gitlab.osmosys.co/incident-reporter/incident-reporter-api", "OQSHA-API")</f>
        <v/>
      </c>
      <c r="F1729">
        <f>HYPERLINK("http://gitlab.osmosys.co/incident-reporter/incident-reporter-api/-/merge_requests/4175", "feat: add changes in register org api to insert page flags")</f>
        <v/>
      </c>
      <c r="G1729" t="inlineStr">
        <is>
          <t>feat/register-org-pageflags</t>
        </is>
      </c>
      <c r="H1729" t="inlineStr">
        <is>
          <t>sprint-19</t>
        </is>
      </c>
      <c r="I1729" t="inlineStr">
        <is>
          <t>merged</t>
        </is>
      </c>
      <c r="J1729" t="inlineStr">
        <is>
          <t>18f86320c9eb660a6c4a260d5f194bba70ff0d34</t>
        </is>
      </c>
      <c r="K1729">
        <f>HYPERLINK("http://gitlab.osmosys.co/incident-reporter/incident-reporter-api/-/merge_requests/4175#note_242123", "Updated it")</f>
        <v/>
      </c>
      <c r="L1729" t="inlineStr">
        <is>
          <t>2025-07-25 20:38:56.911 IST</t>
        </is>
      </c>
      <c r="M1729" t="inlineStr">
        <is>
          <t>Mohit Pargaie</t>
        </is>
      </c>
      <c r="N1729" t="inlineStr">
        <is>
          <t>No</t>
        </is>
      </c>
      <c r="O1729" t="inlineStr">
        <is>
          <t>Yes</t>
        </is>
      </c>
      <c r="P1729" t="inlineStr">
        <is>
          <t>Sameer Shaik</t>
        </is>
      </c>
      <c r="Q1729" t="inlineStr">
        <is>
          <t>Bad</t>
        </is>
      </c>
    </row>
    <row r="1730">
      <c r="A1730" t="inlineStr">
        <is>
          <t>mohit.p</t>
        </is>
      </c>
      <c r="B1730" t="inlineStr">
        <is>
          <t>Mohit Pargaie</t>
        </is>
      </c>
      <c r="C1730" t="inlineStr">
        <is>
          <t>mohit.p@osmosys.co</t>
        </is>
      </c>
      <c r="D1730" t="inlineStr">
        <is>
          <t>incident-reporter</t>
        </is>
      </c>
      <c r="E1730">
        <f>HYPERLINK("http://gitlab.osmosys.co/incident-reporter/incident-reporter-api", "OQSHA-API")</f>
        <v/>
      </c>
      <c r="F1730">
        <f>HYPERLINK("http://gitlab.osmosys.co/incident-reporter/incident-reporter-api/-/merge_requests/4149", "fix: remove condition from sites list to return only active sites")</f>
        <v/>
      </c>
      <c r="G1730" t="inlineStr">
        <is>
          <t>fix/export-bug-fixes</t>
        </is>
      </c>
      <c r="H1730" t="inlineStr">
        <is>
          <t>sprint-17</t>
        </is>
      </c>
      <c r="I1730" t="inlineStr">
        <is>
          <t>merged</t>
        </is>
      </c>
      <c r="J1730" t="inlineStr"/>
      <c r="K1730" t="inlineStr"/>
      <c r="L1730" t="inlineStr"/>
      <c r="M1730" t="inlineStr"/>
      <c r="N1730" t="inlineStr"/>
      <c r="O1730" t="inlineStr"/>
      <c r="P1730" t="inlineStr"/>
      <c r="Q1730" t="inlineStr"/>
    </row>
    <row r="1731">
      <c r="A1731" t="inlineStr">
        <is>
          <t>mohit.p</t>
        </is>
      </c>
      <c r="B1731" t="inlineStr">
        <is>
          <t>Mohit Pargaie</t>
        </is>
      </c>
      <c r="C1731" t="inlineStr">
        <is>
          <t>mohit.p@osmosys.co</t>
        </is>
      </c>
      <c r="D1731" t="inlineStr">
        <is>
          <t>incident-reporter</t>
        </is>
      </c>
      <c r="E1731">
        <f>HYPERLINK("http://gitlab.osmosys.co/incident-reporter/incident-reporter-api", "OQSHA-API")</f>
        <v/>
      </c>
      <c r="F1731">
        <f>HYPERLINK("http://gitlab.osmosys.co/incident-reporter/incident-reporter-api/-/merge_requests/4125", "feat: update code to render org based templates correctly")</f>
        <v/>
      </c>
      <c r="G1731" t="inlineStr">
        <is>
          <t>feat/org-based-ticket-templates</t>
        </is>
      </c>
      <c r="H1731" t="inlineStr">
        <is>
          <t>sprint-17</t>
        </is>
      </c>
      <c r="I1731" t="inlineStr">
        <is>
          <t>merged</t>
        </is>
      </c>
      <c r="J1731" t="inlineStr">
        <is>
          <t>8eda0e5045acc0ee421e0910f91b51c1b953c400</t>
        </is>
      </c>
      <c r="K1731">
        <f>HYPERLINK("http://gitlab.osmosys.co/incident-reporter/incident-reporter-api/-/merge_requests/4125#note_235214", "Are these 2 nulls associated to report attachments &amp; additional attachments?")</f>
        <v/>
      </c>
      <c r="L1731" t="inlineStr">
        <is>
          <t>2025-07-11 14:54:50.114 IST</t>
        </is>
      </c>
      <c r="M1731" t="inlineStr">
        <is>
          <t>Sindhusha</t>
        </is>
      </c>
      <c r="N1731" t="inlineStr">
        <is>
          <t>Yes</t>
        </is>
      </c>
      <c r="O1731" t="inlineStr">
        <is>
          <t>Yes</t>
        </is>
      </c>
      <c r="P1731" t="inlineStr">
        <is>
          <t>Sindhusha</t>
        </is>
      </c>
      <c r="Q1731" t="inlineStr">
        <is>
          <t>Neutral</t>
        </is>
      </c>
    </row>
    <row r="1732">
      <c r="A1732" t="inlineStr">
        <is>
          <t>mohit.p</t>
        </is>
      </c>
      <c r="B1732" t="inlineStr">
        <is>
          <t>Mohit Pargaie</t>
        </is>
      </c>
      <c r="C1732" t="inlineStr">
        <is>
          <t>mohit.p@osmosys.co</t>
        </is>
      </c>
      <c r="D1732" t="inlineStr">
        <is>
          <t>incident-reporter</t>
        </is>
      </c>
      <c r="E1732">
        <f>HYPERLINK("http://gitlab.osmosys.co/incident-reporter/incident-reporter-api", "OQSHA-API")</f>
        <v/>
      </c>
      <c r="F1732">
        <f>HYPERLINK("http://gitlab.osmosys.co/incident-reporter/incident-reporter-api/-/merge_requests/4125", "feat: update code to render org based templates correctly")</f>
        <v/>
      </c>
      <c r="G1732" t="inlineStr">
        <is>
          <t>feat/org-based-ticket-templates</t>
        </is>
      </c>
      <c r="H1732" t="inlineStr">
        <is>
          <t>sprint-17</t>
        </is>
      </c>
      <c r="I1732" t="inlineStr">
        <is>
          <t>merged</t>
        </is>
      </c>
      <c r="J1732" t="inlineStr">
        <is>
          <t>8eda0e5045acc0ee421e0910f91b51c1b953c400</t>
        </is>
      </c>
      <c r="K1732">
        <f>HYPERLINK("http://gitlab.osmosys.co/incident-reporter/incident-reporter-api/-/merge_requests/4125#note_235226", "yes")</f>
        <v/>
      </c>
      <c r="L1732" t="inlineStr">
        <is>
          <t>2025-07-11 15:04:08.246 IST</t>
        </is>
      </c>
      <c r="M1732" t="inlineStr">
        <is>
          <t>Mohit Pargaie</t>
        </is>
      </c>
      <c r="N1732" t="inlineStr">
        <is>
          <t>No</t>
        </is>
      </c>
      <c r="O1732" t="inlineStr">
        <is>
          <t>Yes</t>
        </is>
      </c>
      <c r="P1732" t="inlineStr">
        <is>
          <t>Sindhusha</t>
        </is>
      </c>
      <c r="Q1732" t="inlineStr">
        <is>
          <t>Neutral</t>
        </is>
      </c>
    </row>
    <row r="1733">
      <c r="A1733" t="inlineStr">
        <is>
          <t>mohit.p</t>
        </is>
      </c>
      <c r="B1733" t="inlineStr">
        <is>
          <t>Mohit Pargaie</t>
        </is>
      </c>
      <c r="C1733" t="inlineStr">
        <is>
          <t>mohit.p@osmosys.co</t>
        </is>
      </c>
      <c r="D1733" t="inlineStr">
        <is>
          <t>incident-reporter</t>
        </is>
      </c>
      <c r="E1733">
        <f>HYPERLINK("http://gitlab.osmosys.co/incident-reporter/incident-reporter-api", "OQSHA-API")</f>
        <v/>
      </c>
      <c r="F1733">
        <f>HYPERLINK("http://gitlab.osmosys.co/incident-reporter/incident-reporter-api/-/merge_requests/4125", "feat: update code to render org based templates correctly")</f>
        <v/>
      </c>
      <c r="G1733" t="inlineStr">
        <is>
          <t>feat/org-based-ticket-templates</t>
        </is>
      </c>
      <c r="H1733" t="inlineStr">
        <is>
          <t>sprint-17</t>
        </is>
      </c>
      <c r="I1733" t="inlineStr">
        <is>
          <t>merged</t>
        </is>
      </c>
      <c r="J1733" t="inlineStr">
        <is>
          <t>2b738dd6965cbc688a175e5db6eea0e9aa1c4fec</t>
        </is>
      </c>
      <c r="K1733">
        <f>HYPERLINK("http://gitlab.osmosys.co/incident-reporter/incident-reporter-api/-/merge_requests/4125#note_235221", "All the new config values, updated config values in the NS &amp; API MUST be added to deployment checklist, after adding it there, add deployment checklist in this PR @mohit.p")</f>
        <v/>
      </c>
      <c r="L1733" t="inlineStr">
        <is>
          <t>2025-07-11 15:02:13.357 IST</t>
        </is>
      </c>
      <c r="M1733" t="inlineStr">
        <is>
          <t>Sindhusha</t>
        </is>
      </c>
      <c r="N1733" t="inlineStr">
        <is>
          <t>Yes</t>
        </is>
      </c>
      <c r="O1733" t="inlineStr">
        <is>
          <t>Yes</t>
        </is>
      </c>
      <c r="P1733" t="inlineStr">
        <is>
          <t>Sindhusha</t>
        </is>
      </c>
      <c r="Q1733" t="inlineStr">
        <is>
          <t>Bad</t>
        </is>
      </c>
    </row>
    <row r="1734">
      <c r="A1734" t="inlineStr">
        <is>
          <t>mohit.p</t>
        </is>
      </c>
      <c r="B1734" t="inlineStr">
        <is>
          <t>Mohit Pargaie</t>
        </is>
      </c>
      <c r="C1734" t="inlineStr">
        <is>
          <t>mohit.p@osmosys.co</t>
        </is>
      </c>
      <c r="D1734" t="inlineStr">
        <is>
          <t>incident-reporter</t>
        </is>
      </c>
      <c r="E1734">
        <f>HYPERLINK("http://gitlab.osmosys.co/incident-reporter/incident-reporter-api", "OQSHA-API")</f>
        <v/>
      </c>
      <c r="F1734">
        <f>HYPERLINK("http://gitlab.osmosys.co/incident-reporter/incident-reporter-api/-/merge_requests/4125", "feat: update code to render org based templates correctly")</f>
        <v/>
      </c>
      <c r="G1734" t="inlineStr">
        <is>
          <t>feat/org-based-ticket-templates</t>
        </is>
      </c>
      <c r="H1734" t="inlineStr">
        <is>
          <t>sprint-17</t>
        </is>
      </c>
      <c r="I1734" t="inlineStr">
        <is>
          <t>merged</t>
        </is>
      </c>
      <c r="J1734" t="inlineStr">
        <is>
          <t>2b738dd6965cbc688a175e5db6eea0e9aa1c4fec</t>
        </is>
      </c>
      <c r="K1734">
        <f>HYPERLINK("http://gitlab.osmosys.co/incident-reporter/incident-reporter-api/-/merge_requests/4125#note_235307", "Updated")</f>
        <v/>
      </c>
      <c r="L1734" t="inlineStr">
        <is>
          <t>2025-07-11 16:18:20.347 IST</t>
        </is>
      </c>
      <c r="M1734" t="inlineStr">
        <is>
          <t>Mohit Pargaie</t>
        </is>
      </c>
      <c r="N1734" t="inlineStr">
        <is>
          <t>No</t>
        </is>
      </c>
      <c r="O1734" t="inlineStr">
        <is>
          <t>Yes</t>
        </is>
      </c>
      <c r="P1734" t="inlineStr">
        <is>
          <t>Sindhusha</t>
        </is>
      </c>
      <c r="Q1734" t="inlineStr">
        <is>
          <t>Bad</t>
        </is>
      </c>
    </row>
    <row r="1735">
      <c r="A1735" t="inlineStr">
        <is>
          <t>mohit.p</t>
        </is>
      </c>
      <c r="B1735" t="inlineStr">
        <is>
          <t>Mohit Pargaie</t>
        </is>
      </c>
      <c r="C1735" t="inlineStr">
        <is>
          <t>mohit.p@osmosys.co</t>
        </is>
      </c>
      <c r="D1735" t="inlineStr">
        <is>
          <t>incident-reporter</t>
        </is>
      </c>
      <c r="E1735">
        <f>HYPERLINK("http://gitlab.osmosys.co/incident-reporter/incident-reporter-api", "OQSHA-API")</f>
        <v/>
      </c>
      <c r="F1735">
        <f>HYPERLINK("http://gitlab.osmosys.co/incident-reporter/incident-reporter-api/-/merge_requests/4125", "feat: update code to render org based templates correctly")</f>
        <v/>
      </c>
      <c r="G1735" t="inlineStr">
        <is>
          <t>feat/org-based-ticket-templates</t>
        </is>
      </c>
      <c r="H1735" t="inlineStr">
        <is>
          <t>sprint-17</t>
        </is>
      </c>
      <c r="I1735" t="inlineStr">
        <is>
          <t>merged</t>
        </is>
      </c>
      <c r="J1735" t="inlineStr">
        <is>
          <t>d9baac09a98065a48858096977a90d976973198b</t>
        </is>
      </c>
      <c r="K1735">
        <f>HYPERLINK("http://gitlab.osmosys.co/incident-reporter/incident-reporter-api/-/merge_requests/4125#note_235229", "We need a condition here to check if org specific folder exists, if not we need read these templates from our Templates folder itself.
Also define &lt;add key="EMAIL_TEMPLATES_CONFIGURABLE_ORG_ID" value="123" /&gt; config value &amp; we will limit your migration code applied to only given organisation BUT NOT ALL")</f>
        <v/>
      </c>
      <c r="L1735" t="inlineStr">
        <is>
          <t>2025-07-11 15:12:09.972 IST</t>
        </is>
      </c>
      <c r="M1735" t="inlineStr">
        <is>
          <t>Sindhusha</t>
        </is>
      </c>
      <c r="N1735" t="inlineStr">
        <is>
          <t>Yes</t>
        </is>
      </c>
      <c r="O1735" t="inlineStr">
        <is>
          <t>Yes</t>
        </is>
      </c>
      <c r="P1735" t="inlineStr">
        <is>
          <t>Sindhusha</t>
        </is>
      </c>
      <c r="Q1735" t="inlineStr">
        <is>
          <t>Bad</t>
        </is>
      </c>
    </row>
    <row r="1736">
      <c r="A1736" t="inlineStr">
        <is>
          <t>mohit.p</t>
        </is>
      </c>
      <c r="B1736" t="inlineStr">
        <is>
          <t>Mohit Pargaie</t>
        </is>
      </c>
      <c r="C1736" t="inlineStr">
        <is>
          <t>mohit.p@osmosys.co</t>
        </is>
      </c>
      <c r="D1736" t="inlineStr">
        <is>
          <t>incident-reporter</t>
        </is>
      </c>
      <c r="E1736">
        <f>HYPERLINK("http://gitlab.osmosys.co/incident-reporter/incident-reporter-api", "OQSHA-API")</f>
        <v/>
      </c>
      <c r="F1736">
        <f>HYPERLINK("http://gitlab.osmosys.co/incident-reporter/incident-reporter-api/-/merge_requests/4125", "feat: update code to render org based templates correctly")</f>
        <v/>
      </c>
      <c r="G1736" t="inlineStr">
        <is>
          <t>feat/org-based-ticket-templates</t>
        </is>
      </c>
      <c r="H1736" t="inlineStr">
        <is>
          <t>sprint-17</t>
        </is>
      </c>
      <c r="I1736" t="inlineStr">
        <is>
          <t>merged</t>
        </is>
      </c>
      <c r="J1736" t="inlineStr">
        <is>
          <t>d9baac09a98065a48858096977a90d976973198b</t>
        </is>
      </c>
      <c r="K1736">
        <f>HYPERLINK("http://gitlab.osmosys.co/incident-reporter/incident-reporter-api/-/merge_requests/4125#note_235306", "Added logic to created org specific folder here")</f>
        <v/>
      </c>
      <c r="L1736" t="inlineStr">
        <is>
          <t>2025-07-11 16:18:04.119 IST</t>
        </is>
      </c>
      <c r="M1736" t="inlineStr">
        <is>
          <t>Mohit Pargaie</t>
        </is>
      </c>
      <c r="N1736" t="inlineStr">
        <is>
          <t>No</t>
        </is>
      </c>
      <c r="O1736" t="inlineStr">
        <is>
          <t>Yes</t>
        </is>
      </c>
      <c r="P1736" t="inlineStr">
        <is>
          <t>Sindhusha</t>
        </is>
      </c>
      <c r="Q1736" t="inlineStr">
        <is>
          <t>Bad</t>
        </is>
      </c>
    </row>
    <row r="1737">
      <c r="A1737" t="inlineStr">
        <is>
          <t>mohit.p</t>
        </is>
      </c>
      <c r="B1737" t="inlineStr">
        <is>
          <t>Mohit Pargaie</t>
        </is>
      </c>
      <c r="C1737" t="inlineStr">
        <is>
          <t>mohit.p@osmosys.co</t>
        </is>
      </c>
      <c r="D1737" t="inlineStr">
        <is>
          <t>incident-reporter</t>
        </is>
      </c>
      <c r="E1737">
        <f>HYPERLINK("http://gitlab.osmosys.co/incident-reporter/incident-reporter-api", "OQSHA-API")</f>
        <v/>
      </c>
      <c r="F1737">
        <f>HYPERLINK("http://gitlab.osmosys.co/incident-reporter/incident-reporter-api/-/merge_requests/4110", "feat: add api to get material types for dropdown")</f>
        <v/>
      </c>
      <c r="G1737" t="inlineStr">
        <is>
          <t>feat/get-material-types</t>
        </is>
      </c>
      <c r="H1737" t="inlineStr">
        <is>
          <t>sprint-17</t>
        </is>
      </c>
      <c r="I1737" t="inlineStr">
        <is>
          <t>opened</t>
        </is>
      </c>
      <c r="J1737" t="inlineStr"/>
      <c r="K1737" t="inlineStr"/>
      <c r="L1737" t="inlineStr"/>
      <c r="M1737" t="inlineStr"/>
      <c r="N1737" t="inlineStr"/>
      <c r="O1737" t="inlineStr"/>
      <c r="P1737" t="inlineStr"/>
      <c r="Q1737" t="inlineStr"/>
    </row>
    <row r="1738">
      <c r="A1738" t="inlineStr">
        <is>
          <t>mohit.p</t>
        </is>
      </c>
      <c r="B1738" t="inlineStr">
        <is>
          <t>Mohit Pargaie</t>
        </is>
      </c>
      <c r="C1738" t="inlineStr">
        <is>
          <t>mohit.p@osmosys.co</t>
        </is>
      </c>
      <c r="D1738" t="inlineStr">
        <is>
          <t>incident-reporter</t>
        </is>
      </c>
      <c r="E1738">
        <f>HYPERLINK("http://gitlab.osmosys.co/incident-reporter/incident-reporter-api", "OQSHA-API")</f>
        <v/>
      </c>
      <c r="F1738">
        <f>HYPERLINK("http://gitlab.osmosys.co/incident-reporter/incident-reporter-api/-/merge_requests/4106", "feat: add api for associated tickets for a user")</f>
        <v/>
      </c>
      <c r="G1738" t="inlineStr">
        <is>
          <t>feat/associated-tickets-api</t>
        </is>
      </c>
      <c r="H1738" t="inlineStr">
        <is>
          <t>sprint-17</t>
        </is>
      </c>
      <c r="I1738" t="inlineStr">
        <is>
          <t>merged</t>
        </is>
      </c>
      <c r="J1738" t="inlineStr">
        <is>
          <t>dcf1a5aa83df51ff7930ffd867d4f591e8d9215b</t>
        </is>
      </c>
      <c r="K1738">
        <f>HYPERLINK("http://gitlab.osmosys.co/incident-reporter/incident-reporter-api/-/merge_requests/4106#note_234197", "this is incorrect. we will not have company filter, reported by &amp; assigned to filters. Ignore these.")</f>
        <v/>
      </c>
      <c r="L1738" t="inlineStr">
        <is>
          <t>2025-07-10 16:44:56.757 IST</t>
        </is>
      </c>
      <c r="M1738" t="inlineStr">
        <is>
          <t>Sindhusha</t>
        </is>
      </c>
      <c r="N1738" t="inlineStr">
        <is>
          <t>Yes</t>
        </is>
      </c>
      <c r="O1738" t="inlineStr">
        <is>
          <t>Yes</t>
        </is>
      </c>
      <c r="P1738" t="inlineStr">
        <is>
          <t>Sindhusha</t>
        </is>
      </c>
      <c r="Q1738" t="inlineStr">
        <is>
          <t>Bad</t>
        </is>
      </c>
    </row>
    <row r="1739">
      <c r="A1739" t="inlineStr">
        <is>
          <t>mohit.p</t>
        </is>
      </c>
      <c r="B1739" t="inlineStr">
        <is>
          <t>Mohit Pargaie</t>
        </is>
      </c>
      <c r="C1739" t="inlineStr">
        <is>
          <t>mohit.p@osmosys.co</t>
        </is>
      </c>
      <c r="D1739" t="inlineStr">
        <is>
          <t>incident-reporter</t>
        </is>
      </c>
      <c r="E1739">
        <f>HYPERLINK("http://gitlab.osmosys.co/incident-reporter/incident-reporter-api", "OQSHA-API")</f>
        <v/>
      </c>
      <c r="F1739">
        <f>HYPERLINK("http://gitlab.osmosys.co/incident-reporter/incident-reporter-api/-/merge_requests/4106", "feat: add api for associated tickets for a user")</f>
        <v/>
      </c>
      <c r="G1739" t="inlineStr">
        <is>
          <t>feat/associated-tickets-api</t>
        </is>
      </c>
      <c r="H1739" t="inlineStr">
        <is>
          <t>sprint-17</t>
        </is>
      </c>
      <c r="I1739" t="inlineStr">
        <is>
          <t>merged</t>
        </is>
      </c>
      <c r="J1739" t="inlineStr">
        <is>
          <t>dcf1a5aa83df51ff7930ffd867d4f591e8d9215b</t>
        </is>
      </c>
      <c r="K1739">
        <f>HYPERLINK("http://gitlab.osmosys.co/incident-reporter/incident-reporter-api/-/merge_requests/4106#note_234272", "removed this company, reportedby filter here and from the repo.")</f>
        <v/>
      </c>
      <c r="L1739" t="inlineStr">
        <is>
          <t>2025-07-10 17:57:57.696 IST</t>
        </is>
      </c>
      <c r="M1739" t="inlineStr">
        <is>
          <t>Mohit Pargaie</t>
        </is>
      </c>
      <c r="N1739" t="inlineStr">
        <is>
          <t>No</t>
        </is>
      </c>
      <c r="O1739" t="inlineStr">
        <is>
          <t>Yes</t>
        </is>
      </c>
      <c r="P1739" t="inlineStr">
        <is>
          <t>Sindhusha</t>
        </is>
      </c>
      <c r="Q1739" t="inlineStr">
        <is>
          <t>Bad</t>
        </is>
      </c>
    </row>
    <row r="1740">
      <c r="A1740" t="inlineStr">
        <is>
          <t>mohit.p</t>
        </is>
      </c>
      <c r="B1740" t="inlineStr">
        <is>
          <t>Mohit Pargaie</t>
        </is>
      </c>
      <c r="C1740" t="inlineStr">
        <is>
          <t>mohit.p@osmosys.co</t>
        </is>
      </c>
      <c r="D1740" t="inlineStr">
        <is>
          <t>incident-reporter</t>
        </is>
      </c>
      <c r="E1740">
        <f>HYPERLINK("http://gitlab.osmosys.co/incident-reporter/incident-reporter-api", "OQSHA-API")</f>
        <v/>
      </c>
      <c r="F1740">
        <f>HYPERLINK("http://gitlab.osmosys.co/incident-reporter/incident-reporter-api/-/merge_requests/4088", "feat: add closed incidents count in dashboard api")</f>
        <v/>
      </c>
      <c r="G1740" t="inlineStr">
        <is>
          <t>feat/dashboard-closed-tickets</t>
        </is>
      </c>
      <c r="H1740" t="inlineStr">
        <is>
          <t>sprint-17</t>
        </is>
      </c>
      <c r="I1740" t="inlineStr">
        <is>
          <t>merged</t>
        </is>
      </c>
      <c r="J1740" t="inlineStr"/>
      <c r="K1740" t="inlineStr"/>
      <c r="L1740" t="inlineStr"/>
      <c r="M1740" t="inlineStr"/>
      <c r="N1740" t="inlineStr"/>
      <c r="O1740" t="inlineStr"/>
      <c r="P1740" t="inlineStr"/>
      <c r="Q1740" t="inlineStr"/>
    </row>
    <row r="1741">
      <c r="A1741" t="inlineStr">
        <is>
          <t>mohit.p</t>
        </is>
      </c>
      <c r="B1741" t="inlineStr">
        <is>
          <t>Mohit Pargaie</t>
        </is>
      </c>
      <c r="C1741" t="inlineStr">
        <is>
          <t>mohit.p@osmosys.co</t>
        </is>
      </c>
      <c r="D1741" t="inlineStr">
        <is>
          <t>incident-reporter</t>
        </is>
      </c>
      <c r="E1741">
        <f>HYPERLINK("http://gitlab.osmosys.co/incident-reporter/incident-reporter-api", "OQSHA-API")</f>
        <v/>
      </c>
      <c r="F1741">
        <f>HYPERLINK("http://gitlab.osmosys.co/incident-reporter/incident-reporter-api/-/merge_requests/4084", "feat: add code to insert ptw comapny users")</f>
        <v/>
      </c>
      <c r="G1741" t="inlineStr">
        <is>
          <t>feat/ptw-users-company-selection</t>
        </is>
      </c>
      <c r="H1741" t="inlineStr">
        <is>
          <t>sprint-18</t>
        </is>
      </c>
      <c r="I1741" t="inlineStr">
        <is>
          <t>merged</t>
        </is>
      </c>
      <c r="J1741" t="inlineStr">
        <is>
          <t>6fef3e617b9a05ce4bbc5e4693e44bff4cdfff1a</t>
        </is>
      </c>
      <c r="K1741">
        <f>HYPERLINK("http://gitlab.osmosys.co/incident-reporter/incident-reporter-api/-/merge_requests/4084#note_233246", "Is this check handles the case if I pass 2 users belong to the given company &amp; one user do not belong to the company?")</f>
        <v/>
      </c>
      <c r="L1741" t="inlineStr">
        <is>
          <t>2025-07-08 18:36:09.593 IST</t>
        </is>
      </c>
      <c r="M1741" t="inlineStr">
        <is>
          <t>Sindhusha</t>
        </is>
      </c>
      <c r="N1741" t="inlineStr">
        <is>
          <t>Yes</t>
        </is>
      </c>
      <c r="O1741" t="inlineStr">
        <is>
          <t>Yes</t>
        </is>
      </c>
      <c r="P1741" t="inlineStr">
        <is>
          <t>Sindhusha</t>
        </is>
      </c>
      <c r="Q1741" t="inlineStr">
        <is>
          <t>Neutral</t>
        </is>
      </c>
    </row>
    <row r="1742">
      <c r="A1742" t="inlineStr">
        <is>
          <t>mohit.p</t>
        </is>
      </c>
      <c r="B1742" t="inlineStr">
        <is>
          <t>Mohit Pargaie</t>
        </is>
      </c>
      <c r="C1742" t="inlineStr">
        <is>
          <t>mohit.p@osmosys.co</t>
        </is>
      </c>
      <c r="D1742" t="inlineStr">
        <is>
          <t>incident-reporter</t>
        </is>
      </c>
      <c r="E1742">
        <f>HYPERLINK("http://gitlab.osmosys.co/incident-reporter/incident-reporter-api", "OQSHA-API")</f>
        <v/>
      </c>
      <c r="F1742">
        <f>HYPERLINK("http://gitlab.osmosys.co/incident-reporter/incident-reporter-api/-/merge_requests/4084", "feat: add code to insert ptw comapny users")</f>
        <v/>
      </c>
      <c r="G1742" t="inlineStr">
        <is>
          <t>feat/ptw-users-company-selection</t>
        </is>
      </c>
      <c r="H1742" t="inlineStr">
        <is>
          <t>sprint-18</t>
        </is>
      </c>
      <c r="I1742" t="inlineStr">
        <is>
          <t>merged</t>
        </is>
      </c>
      <c r="J1742" t="inlineStr">
        <is>
          <t>6fef3e617b9a05ce4bbc5e4693e44bff4cdfff1a</t>
        </is>
      </c>
      <c r="K1742">
        <f>HYPERLINK("http://gitlab.osmosys.co/incident-reporter/incident-reporter-api/-/merge_requests/4084#note_233361", "Yes this will return error even if 1 of the usersIds in the list does not belong to the company.")</f>
        <v/>
      </c>
      <c r="L1742" t="inlineStr">
        <is>
          <t>2025-07-09 10:15:47.328 IST</t>
        </is>
      </c>
      <c r="M1742" t="inlineStr">
        <is>
          <t>Mohit Pargaie</t>
        </is>
      </c>
      <c r="N1742" t="inlineStr">
        <is>
          <t>No</t>
        </is>
      </c>
      <c r="O1742" t="inlineStr">
        <is>
          <t>Yes</t>
        </is>
      </c>
      <c r="P1742" t="inlineStr">
        <is>
          <t>Sindhusha</t>
        </is>
      </c>
      <c r="Q1742" t="inlineStr">
        <is>
          <t>Neutral</t>
        </is>
      </c>
    </row>
    <row r="1743">
      <c r="A1743" t="inlineStr">
        <is>
          <t>mohit.p</t>
        </is>
      </c>
      <c r="B1743" t="inlineStr">
        <is>
          <t>Mohit Pargaie</t>
        </is>
      </c>
      <c r="C1743" t="inlineStr">
        <is>
          <t>mohit.p@osmosys.co</t>
        </is>
      </c>
      <c r="D1743" t="inlineStr">
        <is>
          <t>incident-reporter</t>
        </is>
      </c>
      <c r="E1743">
        <f>HYPERLINK("http://gitlab.osmosys.co/incident-reporter/incident-reporter-api", "OQSHA-API")</f>
        <v/>
      </c>
      <c r="F1743">
        <f>HYPERLINK("http://gitlab.osmosys.co/incident-reporter/incident-reporter-api/-/merge_requests/4084", "feat: add code to insert ptw comapny users")</f>
        <v/>
      </c>
      <c r="G1743" t="inlineStr">
        <is>
          <t>feat/ptw-users-company-selection</t>
        </is>
      </c>
      <c r="H1743" t="inlineStr">
        <is>
          <t>sprint-18</t>
        </is>
      </c>
      <c r="I1743" t="inlineStr">
        <is>
          <t>merged</t>
        </is>
      </c>
      <c r="J1743" t="inlineStr">
        <is>
          <t>0ae5a75debf60598dcd86671b8d4f8491da41e9e</t>
        </is>
      </c>
      <c r="K1743">
        <f>HYPERLINK("http://gitlab.osmosys.co/incident-reporter/incident-reporter-api/-/merge_requests/4084#note_233252", "I want these 2 calls in a transaction.")</f>
        <v/>
      </c>
      <c r="L1743" t="inlineStr">
        <is>
          <t>2025-07-08 18:40:31.210 IST</t>
        </is>
      </c>
      <c r="M1743" t="inlineStr">
        <is>
          <t>Sindhusha</t>
        </is>
      </c>
      <c r="N1743" t="inlineStr">
        <is>
          <t>Yes</t>
        </is>
      </c>
      <c r="O1743" t="inlineStr">
        <is>
          <t>Yes</t>
        </is>
      </c>
      <c r="P1743" t="inlineStr">
        <is>
          <t>Sindhusha</t>
        </is>
      </c>
      <c r="Q1743" t="inlineStr">
        <is>
          <t>Bad</t>
        </is>
      </c>
    </row>
    <row r="1744">
      <c r="A1744" t="inlineStr">
        <is>
          <t>mohit.p</t>
        </is>
      </c>
      <c r="B1744" t="inlineStr">
        <is>
          <t>Mohit Pargaie</t>
        </is>
      </c>
      <c r="C1744" t="inlineStr">
        <is>
          <t>mohit.p@osmosys.co</t>
        </is>
      </c>
      <c r="D1744" t="inlineStr">
        <is>
          <t>incident-reporter</t>
        </is>
      </c>
      <c r="E1744">
        <f>HYPERLINK("http://gitlab.osmosys.co/incident-reporter/incident-reporter-api", "OQSHA-API")</f>
        <v/>
      </c>
      <c r="F1744">
        <f>HYPERLINK("http://gitlab.osmosys.co/incident-reporter/incident-reporter-api/-/merge_requests/4084", "feat: add code to insert ptw comapny users")</f>
        <v/>
      </c>
      <c r="G1744" t="inlineStr">
        <is>
          <t>feat/ptw-users-company-selection</t>
        </is>
      </c>
      <c r="H1744" t="inlineStr">
        <is>
          <t>sprint-18</t>
        </is>
      </c>
      <c r="I1744" t="inlineStr">
        <is>
          <t>merged</t>
        </is>
      </c>
      <c r="J1744" t="inlineStr">
        <is>
          <t>0ae5a75debf60598dcd86671b8d4f8491da41e9e</t>
        </is>
      </c>
      <c r="K1744">
        <f>HYPERLINK("http://gitlab.osmosys.co/incident-reporter/incident-reporter-api/-/merge_requests/4084#note_233389", "added it to a transaction")</f>
        <v/>
      </c>
      <c r="L1744" t="inlineStr">
        <is>
          <t>2025-07-09 10:50:01.822 IST</t>
        </is>
      </c>
      <c r="M1744" t="inlineStr">
        <is>
          <t>Mohit Pargaie</t>
        </is>
      </c>
      <c r="N1744" t="inlineStr">
        <is>
          <t>No</t>
        </is>
      </c>
      <c r="O1744" t="inlineStr">
        <is>
          <t>Yes</t>
        </is>
      </c>
      <c r="P1744" t="inlineStr">
        <is>
          <t>Sindhusha</t>
        </is>
      </c>
      <c r="Q1744" t="inlineStr">
        <is>
          <t>Bad</t>
        </is>
      </c>
    </row>
    <row r="1745">
      <c r="A1745" t="inlineStr">
        <is>
          <t>mohit.p</t>
        </is>
      </c>
      <c r="B1745" t="inlineStr">
        <is>
          <t>Mohit Pargaie</t>
        </is>
      </c>
      <c r="C1745" t="inlineStr">
        <is>
          <t>mohit.p@osmosys.co</t>
        </is>
      </c>
      <c r="D1745" t="inlineStr">
        <is>
          <t>incident-reporter</t>
        </is>
      </c>
      <c r="E1745">
        <f>HYPERLINK("http://gitlab.osmosys.co/incident-reporter/incident-reporter-api", "OQSHA-API")</f>
        <v/>
      </c>
      <c r="F1745">
        <f>HYPERLINK("http://gitlab.osmosys.co/incident-reporter/incident-reporter-api/-/merge_requests/4084", "feat: add code to insert ptw comapny users")</f>
        <v/>
      </c>
      <c r="G1745" t="inlineStr">
        <is>
          <t>feat/ptw-users-company-selection</t>
        </is>
      </c>
      <c r="H1745" t="inlineStr">
        <is>
          <t>sprint-18</t>
        </is>
      </c>
      <c r="I1745" t="inlineStr">
        <is>
          <t>merged</t>
        </is>
      </c>
      <c r="J1745" t="inlineStr">
        <is>
          <t>873639ea9a69aa0dd833cf7c712f58f7f0aaf77d</t>
        </is>
      </c>
      <c r="K1745">
        <f>HYPERLINK("http://gitlab.osmosys.co/incident-reporter/incident-reporter-api/-/merge_requests/4084#note_233253", "Do not use hardcoded values in the query.")</f>
        <v/>
      </c>
      <c r="L1745" t="inlineStr">
        <is>
          <t>2025-07-08 18:41:41.148 IST</t>
        </is>
      </c>
      <c r="M1745" t="inlineStr">
        <is>
          <t>Sindhusha</t>
        </is>
      </c>
      <c r="N1745" t="inlineStr">
        <is>
          <t>Yes</t>
        </is>
      </c>
      <c r="O1745" t="inlineStr">
        <is>
          <t>Yes</t>
        </is>
      </c>
      <c r="P1745" t="inlineStr">
        <is>
          <t>Sindhusha</t>
        </is>
      </c>
      <c r="Q1745" t="inlineStr">
        <is>
          <t>Bad</t>
        </is>
      </c>
    </row>
    <row r="1746">
      <c r="A1746" t="inlineStr">
        <is>
          <t>mohit.p</t>
        </is>
      </c>
      <c r="B1746" t="inlineStr">
        <is>
          <t>Mohit Pargaie</t>
        </is>
      </c>
      <c r="C1746" t="inlineStr">
        <is>
          <t>mohit.p@osmosys.co</t>
        </is>
      </c>
      <c r="D1746" t="inlineStr">
        <is>
          <t>incident-reporter</t>
        </is>
      </c>
      <c r="E1746">
        <f>HYPERLINK("http://gitlab.osmosys.co/incident-reporter/incident-reporter-api", "OQSHA-API")</f>
        <v/>
      </c>
      <c r="F1746">
        <f>HYPERLINK("http://gitlab.osmosys.co/incident-reporter/incident-reporter-api/-/merge_requests/4084", "feat: add code to insert ptw comapny users")</f>
        <v/>
      </c>
      <c r="G1746" t="inlineStr">
        <is>
          <t>feat/ptw-users-company-selection</t>
        </is>
      </c>
      <c r="H1746" t="inlineStr">
        <is>
          <t>sprint-18</t>
        </is>
      </c>
      <c r="I1746" t="inlineStr">
        <is>
          <t>merged</t>
        </is>
      </c>
      <c r="J1746" t="inlineStr">
        <is>
          <t>873639ea9a69aa0dd833cf7c712f58f7f0aaf77d</t>
        </is>
      </c>
      <c r="K1746">
        <f>HYPERLINK("http://gitlab.osmosys.co/incident-reporter/incident-reporter-api/-/merge_requests/4084#note_233388", "Updated")</f>
        <v/>
      </c>
      <c r="L1746" t="inlineStr">
        <is>
          <t>2025-07-09 10:49:50.128 IST</t>
        </is>
      </c>
      <c r="M1746" t="inlineStr">
        <is>
          <t>Mohit Pargaie</t>
        </is>
      </c>
      <c r="N1746" t="inlineStr">
        <is>
          <t>No</t>
        </is>
      </c>
      <c r="O1746" t="inlineStr">
        <is>
          <t>Yes</t>
        </is>
      </c>
      <c r="P1746" t="inlineStr">
        <is>
          <t>Sindhusha</t>
        </is>
      </c>
      <c r="Q1746" t="inlineStr">
        <is>
          <t>Bad</t>
        </is>
      </c>
    </row>
    <row r="1747">
      <c r="A1747" t="inlineStr">
        <is>
          <t>mohit.p</t>
        </is>
      </c>
      <c r="B1747" t="inlineStr">
        <is>
          <t>Mohit Pargaie</t>
        </is>
      </c>
      <c r="C1747" t="inlineStr">
        <is>
          <t>mohit.p@osmosys.co</t>
        </is>
      </c>
      <c r="D1747" t="inlineStr">
        <is>
          <t>incident-reporter</t>
        </is>
      </c>
      <c r="E1747">
        <f>HYPERLINK("http://gitlab.osmosys.co/incident-reporter/incident-reporter-api", "OQSHA-API")</f>
        <v/>
      </c>
      <c r="F1747">
        <f>HYPERLINK("http://gitlab.osmosys.co/incident-reporter/incident-reporter-api/-/merge_requests/4084", "feat: add code to insert ptw comapny users")</f>
        <v/>
      </c>
      <c r="G1747" t="inlineStr">
        <is>
          <t>feat/ptw-users-company-selection</t>
        </is>
      </c>
      <c r="H1747" t="inlineStr">
        <is>
          <t>sprint-18</t>
        </is>
      </c>
      <c r="I1747" t="inlineStr">
        <is>
          <t>merged</t>
        </is>
      </c>
      <c r="J1747" t="inlineStr">
        <is>
          <t>f690d41d753e35f7b1a850d422ba0acd6243fadb</t>
        </is>
      </c>
      <c r="K1747">
        <f>HYPERLINK("http://gitlab.osmosys.co/incident-reporter/incident-reporter-api/-/merge_requests/4084#note_233255", "you are passing this but using it in the query.")</f>
        <v/>
      </c>
      <c r="L1747" t="inlineStr">
        <is>
          <t>2025-07-08 18:42:04.618 IST</t>
        </is>
      </c>
      <c r="M1747" t="inlineStr">
        <is>
          <t>Sindhusha</t>
        </is>
      </c>
      <c r="N1747" t="inlineStr">
        <is>
          <t>Yes</t>
        </is>
      </c>
      <c r="O1747" t="inlineStr">
        <is>
          <t>Yes</t>
        </is>
      </c>
      <c r="P1747" t="inlineStr">
        <is>
          <t>Sindhusha</t>
        </is>
      </c>
      <c r="Q1747" t="inlineStr">
        <is>
          <t>Bad</t>
        </is>
      </c>
    </row>
    <row r="1748">
      <c r="A1748" t="inlineStr">
        <is>
          <t>mohit.p</t>
        </is>
      </c>
      <c r="B1748" t="inlineStr">
        <is>
          <t>Mohit Pargaie</t>
        </is>
      </c>
      <c r="C1748" t="inlineStr">
        <is>
          <t>mohit.p@osmosys.co</t>
        </is>
      </c>
      <c r="D1748" t="inlineStr">
        <is>
          <t>incident-reporter</t>
        </is>
      </c>
      <c r="E1748">
        <f>HYPERLINK("http://gitlab.osmosys.co/incident-reporter/incident-reporter-api", "OQSHA-API")</f>
        <v/>
      </c>
      <c r="F1748">
        <f>HYPERLINK("http://gitlab.osmosys.co/incident-reporter/incident-reporter-api/-/merge_requests/4084", "feat: add code to insert ptw comapny users")</f>
        <v/>
      </c>
      <c r="G1748" t="inlineStr">
        <is>
          <t>feat/ptw-users-company-selection</t>
        </is>
      </c>
      <c r="H1748" t="inlineStr">
        <is>
          <t>sprint-18</t>
        </is>
      </c>
      <c r="I1748" t="inlineStr">
        <is>
          <t>merged</t>
        </is>
      </c>
      <c r="J1748" t="inlineStr">
        <is>
          <t>f690d41d753e35f7b1a850d422ba0acd6243fadb</t>
        </is>
      </c>
      <c r="K1748">
        <f>HYPERLINK("http://gitlab.osmosys.co/incident-reporter/incident-reporter-api/-/merge_requests/4084#note_233387", "Updated it to use it on the query")</f>
        <v/>
      </c>
      <c r="L1748" t="inlineStr">
        <is>
          <t>2025-07-09 10:49:44.185 IST</t>
        </is>
      </c>
      <c r="M1748" t="inlineStr">
        <is>
          <t>Mohit Pargaie</t>
        </is>
      </c>
      <c r="N1748" t="inlineStr">
        <is>
          <t>No</t>
        </is>
      </c>
      <c r="O1748" t="inlineStr">
        <is>
          <t>Yes</t>
        </is>
      </c>
      <c r="P1748" t="inlineStr">
        <is>
          <t>Sindhusha</t>
        </is>
      </c>
      <c r="Q1748" t="inlineStr">
        <is>
          <t>Bad</t>
        </is>
      </c>
    </row>
    <row r="1749">
      <c r="A1749" t="inlineStr">
        <is>
          <t>mohit.p</t>
        </is>
      </c>
      <c r="B1749" t="inlineStr">
        <is>
          <t>Mohit Pargaie</t>
        </is>
      </c>
      <c r="C1749" t="inlineStr">
        <is>
          <t>mohit.p@osmosys.co</t>
        </is>
      </c>
      <c r="D1749" t="inlineStr">
        <is>
          <t>incident-reporter</t>
        </is>
      </c>
      <c r="E1749">
        <f>HYPERLINK("http://gitlab.osmosys.co/incident-reporter/incident-reporter-api", "OQSHA-API")</f>
        <v/>
      </c>
      <c r="F1749">
        <f>HYPERLINK("http://gitlab.osmosys.co/incident-reporter/incident-reporter-api/-/merge_requests/4084", "feat: add code to insert ptw comapny users")</f>
        <v/>
      </c>
      <c r="G1749" t="inlineStr">
        <is>
          <t>feat/ptw-users-company-selection</t>
        </is>
      </c>
      <c r="H1749" t="inlineStr">
        <is>
          <t>sprint-18</t>
        </is>
      </c>
      <c r="I1749" t="inlineStr">
        <is>
          <t>merged</t>
        </is>
      </c>
      <c r="J1749" t="inlineStr">
        <is>
          <t>f05bd830b5517887b1f69f4f852b2569ebf4410a</t>
        </is>
      </c>
      <c r="K1749">
        <f>HYPERLINK("http://gitlab.osmosys.co/incident-reporter/incident-reporter-api/-/merge_requests/4084#note_233257", "we don't need this for user id")</f>
        <v/>
      </c>
      <c r="L1749" t="inlineStr">
        <is>
          <t>2025-07-08 18:44:31.251 IST</t>
        </is>
      </c>
      <c r="M1749" t="inlineStr">
        <is>
          <t>Sindhusha</t>
        </is>
      </c>
      <c r="N1749" t="inlineStr">
        <is>
          <t>Yes</t>
        </is>
      </c>
      <c r="O1749" t="inlineStr">
        <is>
          <t>Yes</t>
        </is>
      </c>
      <c r="P1749" t="inlineStr">
        <is>
          <t>Sindhusha</t>
        </is>
      </c>
      <c r="Q1749" t="inlineStr">
        <is>
          <t>Bad</t>
        </is>
      </c>
    </row>
    <row r="1750">
      <c r="A1750" t="inlineStr">
        <is>
          <t>mohit.p</t>
        </is>
      </c>
      <c r="B1750" t="inlineStr">
        <is>
          <t>Mohit Pargaie</t>
        </is>
      </c>
      <c r="C1750" t="inlineStr">
        <is>
          <t>mohit.p@osmosys.co</t>
        </is>
      </c>
      <c r="D1750" t="inlineStr">
        <is>
          <t>incident-reporter</t>
        </is>
      </c>
      <c r="E1750">
        <f>HYPERLINK("http://gitlab.osmosys.co/incident-reporter/incident-reporter-api", "OQSHA-API")</f>
        <v/>
      </c>
      <c r="F1750">
        <f>HYPERLINK("http://gitlab.osmosys.co/incident-reporter/incident-reporter-api/-/merge_requests/4084", "feat: add code to insert ptw comapny users")</f>
        <v/>
      </c>
      <c r="G1750" t="inlineStr">
        <is>
          <t>feat/ptw-users-company-selection</t>
        </is>
      </c>
      <c r="H1750" t="inlineStr">
        <is>
          <t>sprint-18</t>
        </is>
      </c>
      <c r="I1750" t="inlineStr">
        <is>
          <t>merged</t>
        </is>
      </c>
      <c r="J1750" t="inlineStr">
        <is>
          <t>f05bd830b5517887b1f69f4f852b2569ebf4410a</t>
        </is>
      </c>
      <c r="K1750">
        <f>HYPERLINK("http://gitlab.osmosys.co/incident-reporter/incident-reporter-api/-/merge_requests/4084#note_233386", "Updated")</f>
        <v/>
      </c>
      <c r="L1750" t="inlineStr">
        <is>
          <t>2025-07-09 10:49:34.468 IST</t>
        </is>
      </c>
      <c r="M1750" t="inlineStr">
        <is>
          <t>Mohit Pargaie</t>
        </is>
      </c>
      <c r="N1750" t="inlineStr">
        <is>
          <t>No</t>
        </is>
      </c>
      <c r="O1750" t="inlineStr">
        <is>
          <t>Yes</t>
        </is>
      </c>
      <c r="P1750" t="inlineStr">
        <is>
          <t>Sindhusha</t>
        </is>
      </c>
      <c r="Q1750" t="inlineStr">
        <is>
          <t>Bad</t>
        </is>
      </c>
    </row>
    <row r="1751">
      <c r="A1751" t="inlineStr">
        <is>
          <t>mohit.p</t>
        </is>
      </c>
      <c r="B1751" t="inlineStr">
        <is>
          <t>Mohit Pargaie</t>
        </is>
      </c>
      <c r="C1751" t="inlineStr">
        <is>
          <t>mohit.p@osmosys.co</t>
        </is>
      </c>
      <c r="D1751" t="inlineStr">
        <is>
          <t>incident-reporter</t>
        </is>
      </c>
      <c r="E1751">
        <f>HYPERLINK("http://gitlab.osmosys.co/incident-reporter/incident-reporter-api", "OQSHA-API")</f>
        <v/>
      </c>
      <c r="F1751">
        <f>HYPERLINK("http://gitlab.osmosys.co/incident-reporter/incident-reporter-api/-/merge_requests/4084", "feat: add code to insert ptw comapny users")</f>
        <v/>
      </c>
      <c r="G1751" t="inlineStr">
        <is>
          <t>feat/ptw-users-company-selection</t>
        </is>
      </c>
      <c r="H1751" t="inlineStr">
        <is>
          <t>sprint-18</t>
        </is>
      </c>
      <c r="I1751" t="inlineStr">
        <is>
          <t>merged</t>
        </is>
      </c>
      <c r="J1751" t="inlineStr">
        <is>
          <t>f05bd830b5517887b1f69f4f852b2569ebf4410a</t>
        </is>
      </c>
      <c r="K1751">
        <f>HYPERLINK("http://gitlab.osmosys.co/incident-reporter/incident-reporter-api/-/merge_requests/4084#note_233475", "@mohit.p  - revert this change please.")</f>
        <v/>
      </c>
      <c r="L1751" t="inlineStr">
        <is>
          <t>2025-07-09 13:07:59.570 IST</t>
        </is>
      </c>
      <c r="M1751" t="inlineStr">
        <is>
          <t>Sindhusha</t>
        </is>
      </c>
      <c r="N1751" t="inlineStr">
        <is>
          <t>Yes</t>
        </is>
      </c>
      <c r="O1751" t="inlineStr">
        <is>
          <t>Yes</t>
        </is>
      </c>
      <c r="P1751" t="inlineStr">
        <is>
          <t>Sindhusha</t>
        </is>
      </c>
      <c r="Q1751" t="inlineStr">
        <is>
          <t>Bad</t>
        </is>
      </c>
    </row>
    <row r="1752">
      <c r="A1752" t="inlineStr">
        <is>
          <t>mohit.p</t>
        </is>
      </c>
      <c r="B1752" t="inlineStr">
        <is>
          <t>Mohit Pargaie</t>
        </is>
      </c>
      <c r="C1752" t="inlineStr">
        <is>
          <t>mohit.p@osmosys.co</t>
        </is>
      </c>
      <c r="D1752" t="inlineStr">
        <is>
          <t>incident-reporter</t>
        </is>
      </c>
      <c r="E1752">
        <f>HYPERLINK("http://gitlab.osmosys.co/incident-reporter/incident-reporter-api", "OQSHA-API")</f>
        <v/>
      </c>
      <c r="F1752">
        <f>HYPERLINK("http://gitlab.osmosys.co/incident-reporter/incident-reporter-api/-/merge_requests/4084", "feat: add code to insert ptw comapny users")</f>
        <v/>
      </c>
      <c r="G1752" t="inlineStr">
        <is>
          <t>feat/ptw-users-company-selection</t>
        </is>
      </c>
      <c r="H1752" t="inlineStr">
        <is>
          <t>sprint-18</t>
        </is>
      </c>
      <c r="I1752" t="inlineStr">
        <is>
          <t>merged</t>
        </is>
      </c>
      <c r="J1752" t="inlineStr">
        <is>
          <t>f05bd830b5517887b1f69f4f852b2569ebf4410a</t>
        </is>
      </c>
      <c r="K1752">
        <f>HYPERLINK("http://gitlab.osmosys.co/incident-reporter/incident-reporter-api/-/merge_requests/4084#note_238844", "reverted these to initial value")</f>
        <v/>
      </c>
      <c r="L1752" t="inlineStr">
        <is>
          <t>2025-07-18 15:24:26.581 IST</t>
        </is>
      </c>
      <c r="M1752" t="inlineStr">
        <is>
          <t>Mohit Pargaie</t>
        </is>
      </c>
      <c r="N1752" t="inlineStr">
        <is>
          <t>No</t>
        </is>
      </c>
      <c r="O1752" t="inlineStr">
        <is>
          <t>Yes</t>
        </is>
      </c>
      <c r="P1752" t="inlineStr">
        <is>
          <t>Sindhusha</t>
        </is>
      </c>
      <c r="Q1752" t="inlineStr">
        <is>
          <t>Bad</t>
        </is>
      </c>
    </row>
    <row r="1753">
      <c r="A1753" t="inlineStr">
        <is>
          <t>mohit.p</t>
        </is>
      </c>
      <c r="B1753" t="inlineStr">
        <is>
          <t>Mohit Pargaie</t>
        </is>
      </c>
      <c r="C1753" t="inlineStr">
        <is>
          <t>mohit.p@osmosys.co</t>
        </is>
      </c>
      <c r="D1753" t="inlineStr">
        <is>
          <t>incident-reporter</t>
        </is>
      </c>
      <c r="E1753">
        <f>HYPERLINK("http://gitlab.osmosys.co/incident-reporter/incident-reporter-api", "OQSHA-API")</f>
        <v/>
      </c>
      <c r="F1753">
        <f>HYPERLINK("http://gitlab.osmosys.co/incident-reporter/incident-reporter-api/-/merge_requests/4084", "feat: add code to insert ptw comapny users")</f>
        <v/>
      </c>
      <c r="G1753" t="inlineStr">
        <is>
          <t>feat/ptw-users-company-selection</t>
        </is>
      </c>
      <c r="H1753" t="inlineStr">
        <is>
          <t>sprint-18</t>
        </is>
      </c>
      <c r="I1753" t="inlineStr">
        <is>
          <t>merged</t>
        </is>
      </c>
      <c r="J1753" t="inlineStr">
        <is>
          <t>945aa9bf030b5b4cd16bca11a1a35c113e0eb079</t>
        </is>
      </c>
      <c r="K1753">
        <f>HYPERLINK("http://gitlab.osmosys.co/incident-reporter/incident-reporter-api/-/merge_requests/4084#note_233258", "we don't need this for company id. Update the delete queries accordingly")</f>
        <v/>
      </c>
      <c r="L1753" t="inlineStr">
        <is>
          <t>2025-07-08 18:44:42.279 IST</t>
        </is>
      </c>
      <c r="M1753" t="inlineStr">
        <is>
          <t>Sindhusha</t>
        </is>
      </c>
      <c r="N1753" t="inlineStr">
        <is>
          <t>Yes</t>
        </is>
      </c>
      <c r="O1753" t="inlineStr">
        <is>
          <t>Yes</t>
        </is>
      </c>
      <c r="P1753" t="inlineStr">
        <is>
          <t>Sindhusha</t>
        </is>
      </c>
      <c r="Q1753" t="inlineStr">
        <is>
          <t>Bad</t>
        </is>
      </c>
    </row>
    <row r="1754">
      <c r="A1754" t="inlineStr">
        <is>
          <t>mohit.p</t>
        </is>
      </c>
      <c r="B1754" t="inlineStr">
        <is>
          <t>Mohit Pargaie</t>
        </is>
      </c>
      <c r="C1754" t="inlineStr">
        <is>
          <t>mohit.p@osmosys.co</t>
        </is>
      </c>
      <c r="D1754" t="inlineStr">
        <is>
          <t>incident-reporter</t>
        </is>
      </c>
      <c r="E1754">
        <f>HYPERLINK("http://gitlab.osmosys.co/incident-reporter/incident-reporter-api", "OQSHA-API")</f>
        <v/>
      </c>
      <c r="F1754">
        <f>HYPERLINK("http://gitlab.osmosys.co/incident-reporter/incident-reporter-api/-/merge_requests/4084", "feat: add code to insert ptw comapny users")</f>
        <v/>
      </c>
      <c r="G1754" t="inlineStr">
        <is>
          <t>feat/ptw-users-company-selection</t>
        </is>
      </c>
      <c r="H1754" t="inlineStr">
        <is>
          <t>sprint-18</t>
        </is>
      </c>
      <c r="I1754" t="inlineStr">
        <is>
          <t>merged</t>
        </is>
      </c>
      <c r="J1754" t="inlineStr">
        <is>
          <t>945aa9bf030b5b4cd16bca11a1a35c113e0eb079</t>
        </is>
      </c>
      <c r="K1754">
        <f>HYPERLINK("http://gitlab.osmosys.co/incident-reporter/incident-reporter-api/-/merge_requests/4084#note_233385", "Updated")</f>
        <v/>
      </c>
      <c r="L1754" t="inlineStr">
        <is>
          <t>2025-07-09 10:49:29.021 IST</t>
        </is>
      </c>
      <c r="M1754" t="inlineStr">
        <is>
          <t>Mohit Pargaie</t>
        </is>
      </c>
      <c r="N1754" t="inlineStr">
        <is>
          <t>No</t>
        </is>
      </c>
      <c r="O1754" t="inlineStr">
        <is>
          <t>Yes</t>
        </is>
      </c>
      <c r="P1754" t="inlineStr">
        <is>
          <t>Sindhusha</t>
        </is>
      </c>
      <c r="Q1754" t="inlineStr">
        <is>
          <t>Bad</t>
        </is>
      </c>
    </row>
    <row r="1755">
      <c r="A1755" t="inlineStr">
        <is>
          <t>mohit.p</t>
        </is>
      </c>
      <c r="B1755" t="inlineStr">
        <is>
          <t>Mohit Pargaie</t>
        </is>
      </c>
      <c r="C1755" t="inlineStr">
        <is>
          <t>mohit.p@osmosys.co</t>
        </is>
      </c>
      <c r="D1755" t="inlineStr">
        <is>
          <t>incident-reporter</t>
        </is>
      </c>
      <c r="E1755">
        <f>HYPERLINK("http://gitlab.osmosys.co/incident-reporter/incident-reporter-api", "OQSHA-API")</f>
        <v/>
      </c>
      <c r="F1755">
        <f>HYPERLINK("http://gitlab.osmosys.co/incident-reporter/incident-reporter-api/-/merge_requests/4084", "feat: add code to insert ptw comapny users")</f>
        <v/>
      </c>
      <c r="G1755" t="inlineStr">
        <is>
          <t>feat/ptw-users-company-selection</t>
        </is>
      </c>
      <c r="H1755" t="inlineStr">
        <is>
          <t>sprint-18</t>
        </is>
      </c>
      <c r="I1755" t="inlineStr">
        <is>
          <t>merged</t>
        </is>
      </c>
      <c r="J1755" t="inlineStr">
        <is>
          <t>945aa9bf030b5b4cd16bca11a1a35c113e0eb079</t>
        </is>
      </c>
      <c r="K1755">
        <f>HYPERLINK("http://gitlab.osmosys.co/incident-reporter/incident-reporter-api/-/merge_requests/4084#note_233476", "@mohit.p  - revert this change please.")</f>
        <v/>
      </c>
      <c r="L1755" t="inlineStr">
        <is>
          <t>2025-07-09 13:08:02.999 IST</t>
        </is>
      </c>
      <c r="M1755" t="inlineStr">
        <is>
          <t>Sindhusha</t>
        </is>
      </c>
      <c r="N1755" t="inlineStr">
        <is>
          <t>Yes</t>
        </is>
      </c>
      <c r="O1755" t="inlineStr">
        <is>
          <t>Yes</t>
        </is>
      </c>
      <c r="P1755" t="inlineStr">
        <is>
          <t>Sindhusha</t>
        </is>
      </c>
      <c r="Q1755" t="inlineStr">
        <is>
          <t>Bad</t>
        </is>
      </c>
    </row>
    <row r="1756">
      <c r="A1756" t="inlineStr">
        <is>
          <t>mohit.p</t>
        </is>
      </c>
      <c r="B1756" t="inlineStr">
        <is>
          <t>Mohit Pargaie</t>
        </is>
      </c>
      <c r="C1756" t="inlineStr">
        <is>
          <t>mohit.p@osmosys.co</t>
        </is>
      </c>
      <c r="D1756" t="inlineStr">
        <is>
          <t>incident-reporter</t>
        </is>
      </c>
      <c r="E1756">
        <f>HYPERLINK("http://gitlab.osmosys.co/incident-reporter/incident-reporter-api", "OQSHA-API")</f>
        <v/>
      </c>
      <c r="F1756">
        <f>HYPERLINK("http://gitlab.osmosys.co/incident-reporter/incident-reporter-api/-/merge_requests/4084", "feat: add code to insert ptw comapny users")</f>
        <v/>
      </c>
      <c r="G1756" t="inlineStr">
        <is>
          <t>feat/ptw-users-company-selection</t>
        </is>
      </c>
      <c r="H1756" t="inlineStr">
        <is>
          <t>sprint-18</t>
        </is>
      </c>
      <c r="I1756" t="inlineStr">
        <is>
          <t>merged</t>
        </is>
      </c>
      <c r="J1756" t="inlineStr">
        <is>
          <t>945aa9bf030b5b4cd16bca11a1a35c113e0eb079</t>
        </is>
      </c>
      <c r="K1756">
        <f>HYPERLINK("http://gitlab.osmosys.co/incident-reporter/incident-reporter-api/-/merge_requests/4084#note_238845", "reverted")</f>
        <v/>
      </c>
      <c r="L1756" t="inlineStr">
        <is>
          <t>2025-07-18 15:24:32.972 IST</t>
        </is>
      </c>
      <c r="M1756" t="inlineStr">
        <is>
          <t>Mohit Pargaie</t>
        </is>
      </c>
      <c r="N1756" t="inlineStr">
        <is>
          <t>No</t>
        </is>
      </c>
      <c r="O1756" t="inlineStr">
        <is>
          <t>Yes</t>
        </is>
      </c>
      <c r="P1756" t="inlineStr">
        <is>
          <t>Sindhusha</t>
        </is>
      </c>
      <c r="Q1756" t="inlineStr">
        <is>
          <t>Bad</t>
        </is>
      </c>
    </row>
    <row r="1757">
      <c r="A1757" t="inlineStr">
        <is>
          <t>mohit.p</t>
        </is>
      </c>
      <c r="B1757" t="inlineStr">
        <is>
          <t>Mohit Pargaie</t>
        </is>
      </c>
      <c r="C1757" t="inlineStr">
        <is>
          <t>mohit.p@osmosys.co</t>
        </is>
      </c>
      <c r="D1757" t="inlineStr">
        <is>
          <t>incident-reporter</t>
        </is>
      </c>
      <c r="E1757">
        <f>HYPERLINK("http://gitlab.osmosys.co/incident-reporter/incident-reporter-api", "OQSHA-API")</f>
        <v/>
      </c>
      <c r="F1757">
        <f>HYPERLINK("http://gitlab.osmosys.co/incident-reporter/incident-reporter-api/-/merge_requests/4061", "feat: org based ticket templates")</f>
        <v/>
      </c>
      <c r="G1757" t="inlineStr">
        <is>
          <t>feat/org-based-ticket-templates</t>
        </is>
      </c>
      <c r="H1757" t="inlineStr">
        <is>
          <t>sprint-17</t>
        </is>
      </c>
      <c r="I1757" t="inlineStr">
        <is>
          <t>merged</t>
        </is>
      </c>
      <c r="J1757" t="inlineStr"/>
      <c r="K1757" t="inlineStr"/>
      <c r="L1757" t="inlineStr"/>
      <c r="M1757" t="inlineStr"/>
      <c r="N1757" t="inlineStr"/>
      <c r="O1757" t="inlineStr"/>
      <c r="P1757" t="inlineStr"/>
      <c r="Q1757" t="inlineStr"/>
    </row>
    <row r="1758">
      <c r="A1758" t="inlineStr">
        <is>
          <t>mohit.p</t>
        </is>
      </c>
      <c r="B1758" t="inlineStr">
        <is>
          <t>Mohit Pargaie</t>
        </is>
      </c>
      <c r="C1758" t="inlineStr">
        <is>
          <t>mohit.p@osmosys.co</t>
        </is>
      </c>
      <c r="D1758" t="inlineStr">
        <is>
          <t>incident-reporter</t>
        </is>
      </c>
      <c r="E1758">
        <f>HYPERLINK("http://gitlab.osmosys.co/incident-reporter/incident-reporter-api", "OQSHA-API")</f>
        <v/>
      </c>
      <c r="F1758">
        <f>HYPERLINK("http://gitlab.osmosys.co/incident-reporter/incident-reporter-api/-/merge_requests/4060", "feat: add changes for enable usage maintainance flag")</f>
        <v/>
      </c>
      <c r="G1758" t="inlineStr">
        <is>
          <t>feat/enable-usage-maintainance</t>
        </is>
      </c>
      <c r="H1758" t="inlineStr">
        <is>
          <t>sprint-19</t>
        </is>
      </c>
      <c r="I1758" t="inlineStr">
        <is>
          <t>merged</t>
        </is>
      </c>
      <c r="J1758" t="inlineStr">
        <is>
          <t>578e5ccbf5a782617762e18102bfe0e100a1dd49</t>
        </is>
      </c>
      <c r="K1758">
        <f>HYPERLINK("http://gitlab.osmosys.co/incident-reporter/incident-reporter-api/-/merge_requests/4060#note_245487", "Remove the extra space")</f>
        <v/>
      </c>
      <c r="L1758" t="inlineStr">
        <is>
          <t>2025-08-01 15:43:34.681 IST</t>
        </is>
      </c>
      <c r="M1758" t="inlineStr">
        <is>
          <t>Kumar Samarjeet</t>
        </is>
      </c>
      <c r="N1758" t="inlineStr">
        <is>
          <t>Yes</t>
        </is>
      </c>
      <c r="O1758" t="inlineStr">
        <is>
          <t>Yes</t>
        </is>
      </c>
      <c r="P1758" t="inlineStr">
        <is>
          <t>Kumar Samarjeet</t>
        </is>
      </c>
      <c r="Q1758" t="inlineStr">
        <is>
          <t>Bad</t>
        </is>
      </c>
    </row>
    <row r="1759">
      <c r="A1759" t="inlineStr">
        <is>
          <t>mohit.p</t>
        </is>
      </c>
      <c r="B1759" t="inlineStr">
        <is>
          <t>Mohit Pargaie</t>
        </is>
      </c>
      <c r="C1759" t="inlineStr">
        <is>
          <t>mohit.p@osmosys.co</t>
        </is>
      </c>
      <c r="D1759" t="inlineStr">
        <is>
          <t>incident-reporter</t>
        </is>
      </c>
      <c r="E1759">
        <f>HYPERLINK("http://gitlab.osmosys.co/incident-reporter/incident-reporter-api", "OQSHA-API")</f>
        <v/>
      </c>
      <c r="F1759">
        <f>HYPERLINK("http://gitlab.osmosys.co/incident-reporter/incident-reporter-api/-/merge_requests/4060", "feat: add changes for enable usage maintainance flag")</f>
        <v/>
      </c>
      <c r="G1759" t="inlineStr">
        <is>
          <t>feat/enable-usage-maintainance</t>
        </is>
      </c>
      <c r="H1759" t="inlineStr">
        <is>
          <t>sprint-19</t>
        </is>
      </c>
      <c r="I1759" t="inlineStr">
        <is>
          <t>merged</t>
        </is>
      </c>
      <c r="J1759" t="inlineStr">
        <is>
          <t>578e5ccbf5a782617762e18102bfe0e100a1dd49</t>
        </is>
      </c>
      <c r="K1759">
        <f>HYPERLINK("http://gitlab.osmosys.co/incident-reporter/incident-reporter-api/-/merge_requests/4060#note_245588", "removed this")</f>
        <v/>
      </c>
      <c r="L1759" t="inlineStr">
        <is>
          <t>2025-08-01 16:40:41.705 IST</t>
        </is>
      </c>
      <c r="M1759" t="inlineStr">
        <is>
          <t>Mohit Pargaie</t>
        </is>
      </c>
      <c r="N1759" t="inlineStr">
        <is>
          <t>No</t>
        </is>
      </c>
      <c r="O1759" t="inlineStr">
        <is>
          <t>Yes</t>
        </is>
      </c>
      <c r="P1759" t="inlineStr">
        <is>
          <t>Kumar Samarjeet</t>
        </is>
      </c>
      <c r="Q1759" t="inlineStr">
        <is>
          <t>Bad</t>
        </is>
      </c>
    </row>
    <row r="1760">
      <c r="A1760" t="inlineStr">
        <is>
          <t>mohit.p</t>
        </is>
      </c>
      <c r="B1760" t="inlineStr">
        <is>
          <t>Mohit Pargaie</t>
        </is>
      </c>
      <c r="C1760" t="inlineStr">
        <is>
          <t>mohit.p@osmosys.co</t>
        </is>
      </c>
      <c r="D1760" t="inlineStr">
        <is>
          <t>incident-reporter</t>
        </is>
      </c>
      <c r="E1760">
        <f>HYPERLINK("http://gitlab.osmosys.co/incident-reporter/incident-reporter-api", "OQSHA-API")</f>
        <v/>
      </c>
      <c r="F1760">
        <f>HYPERLINK("http://gitlab.osmosys.co/incident-reporter/incident-reporter-api/-/merge_requests/4060", "feat: add changes for enable usage maintainance flag")</f>
        <v/>
      </c>
      <c r="G1760" t="inlineStr">
        <is>
          <t>feat/enable-usage-maintainance</t>
        </is>
      </c>
      <c r="H1760" t="inlineStr">
        <is>
          <t>sprint-19</t>
        </is>
      </c>
      <c r="I1760" t="inlineStr">
        <is>
          <t>merged</t>
        </is>
      </c>
      <c r="J1760" t="inlineStr">
        <is>
          <t>4c5e115ff36d5bca815d9dc74db111eb5a5562a5</t>
        </is>
      </c>
      <c r="K1760">
        <f>HYPERLINK("http://gitlab.osmosys.co/incident-reporter/incident-reporter-api/-/merge_requests/4060#note_245490", "Don't do db calls inside for loop")</f>
        <v/>
      </c>
      <c r="L1760" t="inlineStr">
        <is>
          <t>2025-08-01 15:43:34.893 IST</t>
        </is>
      </c>
      <c r="M1760" t="inlineStr">
        <is>
          <t>Kumar Samarjeet</t>
        </is>
      </c>
      <c r="N1760" t="inlineStr">
        <is>
          <t>Yes</t>
        </is>
      </c>
      <c r="O1760" t="inlineStr">
        <is>
          <t>Yes</t>
        </is>
      </c>
      <c r="P1760" t="inlineStr">
        <is>
          <t>Sindhusha</t>
        </is>
      </c>
      <c r="Q1760" t="inlineStr">
        <is>
          <t>Bad</t>
        </is>
      </c>
    </row>
    <row r="1761">
      <c r="A1761" t="inlineStr">
        <is>
          <t>mohit.p</t>
        </is>
      </c>
      <c r="B1761" t="inlineStr">
        <is>
          <t>Mohit Pargaie</t>
        </is>
      </c>
      <c r="C1761" t="inlineStr">
        <is>
          <t>mohit.p@osmosys.co</t>
        </is>
      </c>
      <c r="D1761" t="inlineStr">
        <is>
          <t>incident-reporter</t>
        </is>
      </c>
      <c r="E1761">
        <f>HYPERLINK("http://gitlab.osmosys.co/incident-reporter/incident-reporter-api", "OQSHA-API")</f>
        <v/>
      </c>
      <c r="F1761">
        <f>HYPERLINK("http://gitlab.osmosys.co/incident-reporter/incident-reporter-api/-/merge_requests/4060", "feat: add changes for enable usage maintainance flag")</f>
        <v/>
      </c>
      <c r="G1761" t="inlineStr">
        <is>
          <t>feat/enable-usage-maintainance</t>
        </is>
      </c>
      <c r="H1761" t="inlineStr">
        <is>
          <t>sprint-19</t>
        </is>
      </c>
      <c r="I1761" t="inlineStr">
        <is>
          <t>merged</t>
        </is>
      </c>
      <c r="J1761" t="inlineStr">
        <is>
          <t>4c5e115ff36d5bca815d9dc74db111eb5a5562a5</t>
        </is>
      </c>
      <c r="K1761">
        <f>HYPERLINK("http://gitlab.osmosys.co/incident-reporter/incident-reporter-api/-/merge_requests/4060#note_245584", "It is not added by me I added the flag enableUsageMaintainance outside. @sindhusha.b  If you want me to fix this and remove the repo call outside the loop please revise the budget for this.")</f>
        <v/>
      </c>
      <c r="L1761" t="inlineStr">
        <is>
          <t>2025-08-01 16:38:28.481 IST</t>
        </is>
      </c>
      <c r="M1761" t="inlineStr">
        <is>
          <t>Mohit Pargaie</t>
        </is>
      </c>
      <c r="N1761" t="inlineStr">
        <is>
          <t>No</t>
        </is>
      </c>
      <c r="O1761" t="inlineStr">
        <is>
          <t>Yes</t>
        </is>
      </c>
      <c r="P1761" t="inlineStr">
        <is>
          <t>Sindhusha</t>
        </is>
      </c>
      <c r="Q1761" t="inlineStr">
        <is>
          <t>Bad</t>
        </is>
      </c>
    </row>
    <row r="1762">
      <c r="A1762" t="inlineStr">
        <is>
          <t>mohit.p</t>
        </is>
      </c>
      <c r="B1762" t="inlineStr">
        <is>
          <t>Mohit Pargaie</t>
        </is>
      </c>
      <c r="C1762" t="inlineStr">
        <is>
          <t>mohit.p@osmosys.co</t>
        </is>
      </c>
      <c r="D1762" t="inlineStr">
        <is>
          <t>incident-reporter</t>
        </is>
      </c>
      <c r="E1762">
        <f>HYPERLINK("http://gitlab.osmosys.co/incident-reporter/incident-reporter-api", "OQSHA-API")</f>
        <v/>
      </c>
      <c r="F1762">
        <f>HYPERLINK("http://gitlab.osmosys.co/incident-reporter/incident-reporter-api/-/merge_requests/4060", "feat: add changes for enable usage maintainance flag")</f>
        <v/>
      </c>
      <c r="G1762" t="inlineStr">
        <is>
          <t>feat/enable-usage-maintainance</t>
        </is>
      </c>
      <c r="H1762" t="inlineStr">
        <is>
          <t>sprint-19</t>
        </is>
      </c>
      <c r="I1762" t="inlineStr">
        <is>
          <t>merged</t>
        </is>
      </c>
      <c r="J1762" t="inlineStr">
        <is>
          <t>4c5e115ff36d5bca815d9dc74db111eb5a5562a5</t>
        </is>
      </c>
      <c r="K1762">
        <f>HYPERLINK("http://gitlab.osmosys.co/incident-reporter/incident-reporter-api/-/merge_requests/4060#note_246234", "Create new PR to fix this.")</f>
        <v/>
      </c>
      <c r="L1762" t="inlineStr">
        <is>
          <t>2025-08-02 13:54:47.308 IST</t>
        </is>
      </c>
      <c r="M1762" t="inlineStr">
        <is>
          <t>Sindhusha</t>
        </is>
      </c>
      <c r="N1762" t="inlineStr">
        <is>
          <t>Yes</t>
        </is>
      </c>
      <c r="O1762" t="inlineStr">
        <is>
          <t>Yes</t>
        </is>
      </c>
      <c r="P1762" t="inlineStr">
        <is>
          <t>Sindhusha</t>
        </is>
      </c>
      <c r="Q1762" t="inlineStr">
        <is>
          <t>Bad</t>
        </is>
      </c>
    </row>
    <row r="1763">
      <c r="A1763" t="inlineStr">
        <is>
          <t>mohit.p</t>
        </is>
      </c>
      <c r="B1763" t="inlineStr">
        <is>
          <t>Mohit Pargaie</t>
        </is>
      </c>
      <c r="C1763" t="inlineStr">
        <is>
          <t>mohit.p@osmosys.co</t>
        </is>
      </c>
      <c r="D1763" t="inlineStr">
        <is>
          <t>incident-reporter</t>
        </is>
      </c>
      <c r="E1763">
        <f>HYPERLINK("http://gitlab.osmosys.co/incident-reporter/incident-reporter-api", "OQSHA-API")</f>
        <v/>
      </c>
      <c r="F1763">
        <f>HYPERLINK("http://gitlab.osmosys.co/incident-reporter/incident-reporter-api/-/merge_requests/4057", "feat: add is online field in post/put and get apis for permit to work")</f>
        <v/>
      </c>
      <c r="G1763" t="inlineStr">
        <is>
          <t>feat/manual-ptw</t>
        </is>
      </c>
      <c r="H1763" t="inlineStr">
        <is>
          <t>sprint-18</t>
        </is>
      </c>
      <c r="I1763" t="inlineStr">
        <is>
          <t>merged</t>
        </is>
      </c>
      <c r="J1763" t="inlineStr"/>
      <c r="K1763" t="inlineStr"/>
      <c r="L1763" t="inlineStr"/>
      <c r="M1763" t="inlineStr"/>
      <c r="N1763" t="inlineStr"/>
      <c r="O1763" t="inlineStr"/>
      <c r="P1763" t="inlineStr"/>
      <c r="Q1763" t="inlineStr"/>
    </row>
    <row r="1764">
      <c r="A1764" t="inlineStr">
        <is>
          <t>mohit.p</t>
        </is>
      </c>
      <c r="B1764" t="inlineStr">
        <is>
          <t>Mohit Pargaie</t>
        </is>
      </c>
      <c r="C1764" t="inlineStr">
        <is>
          <t>mohit.p@osmosys.co</t>
        </is>
      </c>
      <c r="D1764" t="inlineStr">
        <is>
          <t>incident-reporter</t>
        </is>
      </c>
      <c r="E1764">
        <f>HYPERLINK("http://gitlab.osmosys.co/incident-reporter/incident-reporter-api", "OQSHA-API")</f>
        <v/>
      </c>
      <c r="F1764">
        <f>HYPERLINK("http://gitlab.osmosys.co/incident-reporter/incident-reporter-api/-/merge_requests/4042", "feat: add apis for areas setup")</f>
        <v/>
      </c>
      <c r="G1764" t="inlineStr">
        <is>
          <t>feat/area-setup</t>
        </is>
      </c>
      <c r="H1764" t="inlineStr">
        <is>
          <t>sprint-19</t>
        </is>
      </c>
      <c r="I1764" t="inlineStr">
        <is>
          <t>opened</t>
        </is>
      </c>
      <c r="J1764" t="inlineStr"/>
      <c r="K1764" t="inlineStr"/>
      <c r="L1764" t="inlineStr"/>
      <c r="M1764" t="inlineStr"/>
      <c r="N1764" t="inlineStr"/>
      <c r="O1764" t="inlineStr"/>
      <c r="P1764" t="inlineStr"/>
      <c r="Q1764" t="inlineStr"/>
    </row>
    <row r="1765">
      <c r="A1765" t="inlineStr">
        <is>
          <t>mohit.p</t>
        </is>
      </c>
      <c r="B1765" t="inlineStr">
        <is>
          <t>Mohit Pargaie</t>
        </is>
      </c>
      <c r="C1765" t="inlineStr">
        <is>
          <t>mohit.p@osmosys.co</t>
        </is>
      </c>
      <c r="D1765" t="inlineStr">
        <is>
          <t>incident-reporter</t>
        </is>
      </c>
      <c r="E1765">
        <f>HYPERLINK("http://gitlab.osmosys.co/incident-reporter/incident-reporter-api", "OQSHA-API")</f>
        <v/>
      </c>
      <c r="F1765">
        <f>HYPERLINK("http://gitlab.osmosys.co/incident-reporter/incident-reporter-api/-/merge_requests/4026", "feat: add code to log userpassword when a user changes password")</f>
        <v/>
      </c>
      <c r="G1765" t="inlineStr">
        <is>
          <t>feat/users-password-recovery-logs</t>
        </is>
      </c>
      <c r="H1765" t="inlineStr">
        <is>
          <t>sprint-19</t>
        </is>
      </c>
      <c r="I1765" t="inlineStr">
        <is>
          <t>opened</t>
        </is>
      </c>
      <c r="J1765" t="inlineStr">
        <is>
          <t>d6df5f104da8c444d28ce516b39ecd972f675a19</t>
        </is>
      </c>
      <c r="K1765">
        <f>HYPERLINK("http://gitlab.osmosys.co/incident-reporter/incident-reporter-api/-/merge_requests/4026#note_245388", "Why this anonymouse variable is needed when you are clearly passing string message?")</f>
        <v/>
      </c>
      <c r="L1765" t="inlineStr">
        <is>
          <t>2025-08-01 14:28:43.355 IST</t>
        </is>
      </c>
      <c r="M1765" t="inlineStr">
        <is>
          <t>Kumar Samarjeet</t>
        </is>
      </c>
      <c r="N1765" t="inlineStr">
        <is>
          <t>Yes</t>
        </is>
      </c>
      <c r="O1765" t="inlineStr">
        <is>
          <t>No</t>
        </is>
      </c>
      <c r="P1765" t="inlineStr"/>
      <c r="Q1765" t="inlineStr">
        <is>
          <t>Neutral</t>
        </is>
      </c>
    </row>
    <row r="1766">
      <c r="A1766" t="inlineStr">
        <is>
          <t>mohit.p</t>
        </is>
      </c>
      <c r="B1766" t="inlineStr">
        <is>
          <t>Mohit Pargaie</t>
        </is>
      </c>
      <c r="C1766" t="inlineStr">
        <is>
          <t>mohit.p@osmosys.co</t>
        </is>
      </c>
      <c r="D1766" t="inlineStr">
        <is>
          <t>incident-reporter</t>
        </is>
      </c>
      <c r="E1766">
        <f>HYPERLINK("http://gitlab.osmosys.co/incident-reporter/incident-reporter-api", "OQSHA-API")</f>
        <v/>
      </c>
      <c r="F1766">
        <f>HYPERLINK("http://gitlab.osmosys.co/incident-reporter/incident-reporter-api/-/merge_requests/4026", "feat: add code to log userpassword when a user changes password")</f>
        <v/>
      </c>
      <c r="G1766" t="inlineStr">
        <is>
          <t>feat/users-password-recovery-logs</t>
        </is>
      </c>
      <c r="H1766" t="inlineStr">
        <is>
          <t>sprint-19</t>
        </is>
      </c>
      <c r="I1766" t="inlineStr">
        <is>
          <t>opened</t>
        </is>
      </c>
      <c r="J1766" t="inlineStr">
        <is>
          <t>d6df5f104da8c444d28ce516b39ecd972f675a19</t>
        </is>
      </c>
      <c r="K1766">
        <f>HYPERLINK("http://gitlab.osmosys.co/incident-reporter/incident-reporter-api/-/merge_requests/4026#note_245411", "the audit log function gives error while passing a string. so i passed an object.")</f>
        <v/>
      </c>
      <c r="L1766" t="inlineStr">
        <is>
          <t>2025-08-01 14:43:02.266 IST</t>
        </is>
      </c>
      <c r="M1766" t="inlineStr">
        <is>
          <t>Mohit Pargaie</t>
        </is>
      </c>
      <c r="N1766" t="inlineStr">
        <is>
          <t>No</t>
        </is>
      </c>
      <c r="O1766" t="inlineStr">
        <is>
          <t>No</t>
        </is>
      </c>
      <c r="P1766" t="inlineStr"/>
      <c r="Q1766" t="inlineStr">
        <is>
          <t>Neutral</t>
        </is>
      </c>
    </row>
    <row r="1767">
      <c r="A1767" t="inlineStr">
        <is>
          <t>mohit.p</t>
        </is>
      </c>
      <c r="B1767" t="inlineStr">
        <is>
          <t>Mohit Pargaie</t>
        </is>
      </c>
      <c r="C1767" t="inlineStr">
        <is>
          <t>mohit.p@osmosys.co</t>
        </is>
      </c>
      <c r="D1767" t="inlineStr">
        <is>
          <t>incident-reporter</t>
        </is>
      </c>
      <c r="E1767">
        <f>HYPERLINK("http://gitlab.osmosys.co/incident-reporter/incident-reporter-api", "OQSHA-API")</f>
        <v/>
      </c>
      <c r="F1767">
        <f>HYPERLINK("http://gitlab.osmosys.co/incident-reporter/incident-reporter-api/-/merge_requests/4018", "fix: add file type validation for ptw upload media function")</f>
        <v/>
      </c>
      <c r="G1767" t="inlineStr">
        <is>
          <t>fix/file-type-bug</t>
        </is>
      </c>
      <c r="H1767" t="inlineStr">
        <is>
          <t>sprint-17</t>
        </is>
      </c>
      <c r="I1767" t="inlineStr">
        <is>
          <t>merged</t>
        </is>
      </c>
      <c r="J1767" t="inlineStr">
        <is>
          <t>16859b9064134307703fba5b75b0a036e007f858</t>
        </is>
      </c>
      <c r="K1767">
        <f>HYPERLINK("http://gitlab.osmosys.co/incident-reporter/incident-reporter-api/-/merge_requests/4018#note_233457", "Remove the above code, We don't need it")</f>
        <v/>
      </c>
      <c r="L1767" t="inlineStr">
        <is>
          <t>2025-07-09 12:28:47.557 IST</t>
        </is>
      </c>
      <c r="M1767" t="inlineStr">
        <is>
          <t>Kumar Samarjeet</t>
        </is>
      </c>
      <c r="N1767" t="inlineStr">
        <is>
          <t>Yes</t>
        </is>
      </c>
      <c r="O1767" t="inlineStr">
        <is>
          <t>Yes</t>
        </is>
      </c>
      <c r="P1767" t="inlineStr">
        <is>
          <t>Sameer Shaik</t>
        </is>
      </c>
      <c r="Q1767" t="inlineStr">
        <is>
          <t>Bad</t>
        </is>
      </c>
    </row>
    <row r="1768">
      <c r="A1768" t="inlineStr">
        <is>
          <t>mohit.p</t>
        </is>
      </c>
      <c r="B1768" t="inlineStr">
        <is>
          <t>Mohit Pargaie</t>
        </is>
      </c>
      <c r="C1768" t="inlineStr">
        <is>
          <t>mohit.p@osmosys.co</t>
        </is>
      </c>
      <c r="D1768" t="inlineStr">
        <is>
          <t>incident-reporter</t>
        </is>
      </c>
      <c r="E1768">
        <f>HYPERLINK("http://gitlab.osmosys.co/incident-reporter/incident-reporter-api", "OQSHA-API")</f>
        <v/>
      </c>
      <c r="F1768">
        <f>HYPERLINK("http://gitlab.osmosys.co/incident-reporter/incident-reporter-api/-/merge_requests/4018", "fix: add file type validation for ptw upload media function")</f>
        <v/>
      </c>
      <c r="G1768" t="inlineStr">
        <is>
          <t>fix/file-type-bug</t>
        </is>
      </c>
      <c r="H1768" t="inlineStr">
        <is>
          <t>sprint-17</t>
        </is>
      </c>
      <c r="I1768" t="inlineStr">
        <is>
          <t>merged</t>
        </is>
      </c>
      <c r="J1768" t="inlineStr">
        <is>
          <t>16859b9064134307703fba5b75b0a036e007f858</t>
        </is>
      </c>
      <c r="K1768">
        <f>HYPERLINK("http://gitlab.osmosys.co/incident-reporter/incident-reporter-api/-/merge_requests/4018#note_233557", "removed it.")</f>
        <v/>
      </c>
      <c r="L1768" t="inlineStr">
        <is>
          <t>2025-07-09 14:32:03.159 IST</t>
        </is>
      </c>
      <c r="M1768" t="inlineStr">
        <is>
          <t>Mohit Pargaie</t>
        </is>
      </c>
      <c r="N1768" t="inlineStr">
        <is>
          <t>No</t>
        </is>
      </c>
      <c r="O1768" t="inlineStr">
        <is>
          <t>Yes</t>
        </is>
      </c>
      <c r="P1768" t="inlineStr">
        <is>
          <t>Sameer Shaik</t>
        </is>
      </c>
      <c r="Q1768" t="inlineStr">
        <is>
          <t>Bad</t>
        </is>
      </c>
    </row>
    <row r="1769">
      <c r="A1769" t="inlineStr">
        <is>
          <t>mohit.p</t>
        </is>
      </c>
      <c r="B1769" t="inlineStr">
        <is>
          <t>Mohit Pargaie</t>
        </is>
      </c>
      <c r="C1769" t="inlineStr">
        <is>
          <t>mohit.p@osmosys.co</t>
        </is>
      </c>
      <c r="D1769" t="inlineStr">
        <is>
          <t>incident-reporter</t>
        </is>
      </c>
      <c r="E1769">
        <f>HYPERLINK("http://gitlab.osmosys.co/incident-reporter/incident-reporter-api", "OQSHA-API")</f>
        <v/>
      </c>
      <c r="F1769">
        <f>HYPERLINK("http://gitlab.osmosys.co/incident-reporter/incident-reporter-api/-/merge_requests/4018", "fix: add file type validation for ptw upload media function")</f>
        <v/>
      </c>
      <c r="G1769" t="inlineStr">
        <is>
          <t>fix/file-type-bug</t>
        </is>
      </c>
      <c r="H1769" t="inlineStr">
        <is>
          <t>sprint-17</t>
        </is>
      </c>
      <c r="I1769" t="inlineStr">
        <is>
          <t>merged</t>
        </is>
      </c>
      <c r="J1769" t="inlineStr">
        <is>
          <t>f33c14e8114f4e75d15d34ff878481388911f35a</t>
        </is>
      </c>
      <c r="K1769">
        <f>HYPERLINK("http://gitlab.osmosys.co/incident-reporter/incident-reporter-api/-/merge_requests/4018#note_233458", "Why are you looping again when it is already handled in a separate function. Add your code there")</f>
        <v/>
      </c>
      <c r="L1769" t="inlineStr">
        <is>
          <t>2025-07-09 12:28:47.621 IST</t>
        </is>
      </c>
      <c r="M1769" t="inlineStr">
        <is>
          <t>Kumar Samarjeet</t>
        </is>
      </c>
      <c r="N1769" t="inlineStr">
        <is>
          <t>Yes</t>
        </is>
      </c>
      <c r="O1769" t="inlineStr">
        <is>
          <t>Yes</t>
        </is>
      </c>
      <c r="P1769" t="inlineStr">
        <is>
          <t>Sameer Shaik</t>
        </is>
      </c>
      <c r="Q1769" t="inlineStr">
        <is>
          <t>Neutral</t>
        </is>
      </c>
    </row>
    <row r="1770">
      <c r="A1770" t="inlineStr">
        <is>
          <t>mohit.p</t>
        </is>
      </c>
      <c r="B1770" t="inlineStr">
        <is>
          <t>Mohit Pargaie</t>
        </is>
      </c>
      <c r="C1770" t="inlineStr">
        <is>
          <t>mohit.p@osmosys.co</t>
        </is>
      </c>
      <c r="D1770" t="inlineStr">
        <is>
          <t>incident-reporter</t>
        </is>
      </c>
      <c r="E1770">
        <f>HYPERLINK("http://gitlab.osmosys.co/incident-reporter/incident-reporter-api", "OQSHA-API")</f>
        <v/>
      </c>
      <c r="F1770">
        <f>HYPERLINK("http://gitlab.osmosys.co/incident-reporter/incident-reporter-api/-/merge_requests/4018", "fix: add file type validation for ptw upload media function")</f>
        <v/>
      </c>
      <c r="G1770" t="inlineStr">
        <is>
          <t>fix/file-type-bug</t>
        </is>
      </c>
      <c r="H1770" t="inlineStr">
        <is>
          <t>sprint-17</t>
        </is>
      </c>
      <c r="I1770" t="inlineStr">
        <is>
          <t>merged</t>
        </is>
      </c>
      <c r="J1770" t="inlineStr">
        <is>
          <t>f33c14e8114f4e75d15d34ff878481388911f35a</t>
        </is>
      </c>
      <c r="K1770">
        <f>HYPERLINK("http://gitlab.osmosys.co/incident-reporter/incident-reporter-api/-/merge_requests/4018#note_233556", "I think its convinient and easy to understand. There are two separate function calls so I will have to add the validation code at both places. This way it already filters the invalid files before calling the functions.
Similar way it is implemented for all the other places like MOC, HIRA etc.")</f>
        <v/>
      </c>
      <c r="L1770" t="inlineStr">
        <is>
          <t>2025-07-09 14:31:54.066 IST</t>
        </is>
      </c>
      <c r="M1770" t="inlineStr">
        <is>
          <t>Mohit Pargaie</t>
        </is>
      </c>
      <c r="N1770" t="inlineStr">
        <is>
          <t>No</t>
        </is>
      </c>
      <c r="O1770" t="inlineStr">
        <is>
          <t>Yes</t>
        </is>
      </c>
      <c r="P1770" t="inlineStr">
        <is>
          <t>Sameer Shaik</t>
        </is>
      </c>
      <c r="Q1770" t="inlineStr">
        <is>
          <t>Neutral</t>
        </is>
      </c>
    </row>
    <row r="1771">
      <c r="A1771" t="inlineStr">
        <is>
          <t>mohit.p</t>
        </is>
      </c>
      <c r="B1771" t="inlineStr">
        <is>
          <t>Mohit Pargaie</t>
        </is>
      </c>
      <c r="C1771" t="inlineStr">
        <is>
          <t>mohit.p@osmosys.co</t>
        </is>
      </c>
      <c r="D1771" t="inlineStr">
        <is>
          <t>incident-reporter</t>
        </is>
      </c>
      <c r="E1771">
        <f>HYPERLINK("http://gitlab.osmosys.co/incident-reporter/incident-reporter-api", "OQSHA-API")</f>
        <v/>
      </c>
      <c r="F1771">
        <f>HYPERLINK("http://gitlab.osmosys.co/incident-reporter/incident-reporter-api/-/merge_requests/4018", "fix: add file type validation for ptw upload media function")</f>
        <v/>
      </c>
      <c r="G1771" t="inlineStr">
        <is>
          <t>fix/file-type-bug</t>
        </is>
      </c>
      <c r="H1771" t="inlineStr">
        <is>
          <t>sprint-17</t>
        </is>
      </c>
      <c r="I1771" t="inlineStr">
        <is>
          <t>merged</t>
        </is>
      </c>
      <c r="J1771" t="inlineStr">
        <is>
          <t>fcc6527d03becb16698c611598de74e57a3464a7</t>
        </is>
      </c>
      <c r="K1771">
        <f>HYPERLINK("http://gitlab.osmosys.co/incident-reporter/incident-reporter-api/-/merge_requests/4018#note_234203", "This function `AttachmentsHelper.GetFileExtension(tempAttachment.FileName)` need not be called to get the file extension. tempAttachment variable already HAS this sorted.")</f>
        <v/>
      </c>
      <c r="L1771" t="inlineStr">
        <is>
          <t>2025-07-10 17:03:35.521 IST</t>
        </is>
      </c>
      <c r="M1771" t="inlineStr">
        <is>
          <t>Sameer Shaik</t>
        </is>
      </c>
      <c r="N1771" t="inlineStr">
        <is>
          <t>Yes</t>
        </is>
      </c>
      <c r="O1771" t="inlineStr">
        <is>
          <t>Yes</t>
        </is>
      </c>
      <c r="P1771" t="inlineStr">
        <is>
          <t>Sameer Shaik</t>
        </is>
      </c>
      <c r="Q1771" t="inlineStr">
        <is>
          <t>Neutral</t>
        </is>
      </c>
    </row>
    <row r="1772">
      <c r="A1772" t="inlineStr">
        <is>
          <t>mohit.p</t>
        </is>
      </c>
      <c r="B1772" t="inlineStr">
        <is>
          <t>Mohit Pargaie</t>
        </is>
      </c>
      <c r="C1772" t="inlineStr">
        <is>
          <t>mohit.p@osmosys.co</t>
        </is>
      </c>
      <c r="D1772" t="inlineStr">
        <is>
          <t>incident-reporter</t>
        </is>
      </c>
      <c r="E1772">
        <f>HYPERLINK("http://gitlab.osmosys.co/incident-reporter/incident-reporter-api", "OQSHA-API")</f>
        <v/>
      </c>
      <c r="F1772">
        <f>HYPERLINK("http://gitlab.osmosys.co/incident-reporter/incident-reporter-api/-/merge_requests/4018", "fix: add file type validation for ptw upload media function")</f>
        <v/>
      </c>
      <c r="G1772" t="inlineStr">
        <is>
          <t>fix/file-type-bug</t>
        </is>
      </c>
      <c r="H1772" t="inlineStr">
        <is>
          <t>sprint-17</t>
        </is>
      </c>
      <c r="I1772" t="inlineStr">
        <is>
          <t>merged</t>
        </is>
      </c>
      <c r="J1772" t="inlineStr">
        <is>
          <t>5e05ccca8f9e72a8ac6db390d89fcc06fcd7d5b8</t>
        </is>
      </c>
      <c r="K1772">
        <f>HYPERLINK("http://gitlab.osmosys.co/incident-reporter/incident-reporter-api/-/merge_requests/4018#note_234204", "Why fetch the attachmentType again when it is already done while building the tempAttachment variable?
![image](/uploads/819411f35035557eb2debc01e50f09a4/image.png)")</f>
        <v/>
      </c>
      <c r="L1772" t="inlineStr">
        <is>
          <t>2025-07-10 17:03:35.607 IST</t>
        </is>
      </c>
      <c r="M1772" t="inlineStr">
        <is>
          <t>Sameer Shaik</t>
        </is>
      </c>
      <c r="N1772" t="inlineStr">
        <is>
          <t>Yes</t>
        </is>
      </c>
      <c r="O1772" t="inlineStr">
        <is>
          <t>Yes</t>
        </is>
      </c>
      <c r="P1772" t="inlineStr">
        <is>
          <t>Sameer Shaik</t>
        </is>
      </c>
      <c r="Q1772" t="inlineStr">
        <is>
          <t>Neutral</t>
        </is>
      </c>
    </row>
    <row r="1773">
      <c r="A1773" t="inlineStr">
        <is>
          <t>mohit.p</t>
        </is>
      </c>
      <c r="B1773" t="inlineStr">
        <is>
          <t>Mohit Pargaie</t>
        </is>
      </c>
      <c r="C1773" t="inlineStr">
        <is>
          <t>mohit.p@osmosys.co</t>
        </is>
      </c>
      <c r="D1773" t="inlineStr">
        <is>
          <t>incident-reporter</t>
        </is>
      </c>
      <c r="E1773">
        <f>HYPERLINK("http://gitlab.osmosys.co/incident-reporter/incident-reporter-api", "OQSHA-API")</f>
        <v/>
      </c>
      <c r="F1773">
        <f>HYPERLINK("http://gitlab.osmosys.co/incident-reporter/incident-reporter-api/-/merge_requests/4018", "fix: add file type validation for ptw upload media function")</f>
        <v/>
      </c>
      <c r="G1773" t="inlineStr">
        <is>
          <t>fix/file-type-bug</t>
        </is>
      </c>
      <c r="H1773" t="inlineStr">
        <is>
          <t>sprint-17</t>
        </is>
      </c>
      <c r="I1773" t="inlineStr">
        <is>
          <t>merged</t>
        </is>
      </c>
      <c r="J1773" t="inlineStr">
        <is>
          <t>5b7285000ec7f107883db391fcf22d2afbc3aee1</t>
        </is>
      </c>
      <c r="K1773">
        <f>HYPERLINK("http://gitlab.osmosys.co/incident-reporter/incident-reporter-api/-/merge_requests/4018#note_234205", "Have an empty line of code around if/else block.")</f>
        <v/>
      </c>
      <c r="L1773" t="inlineStr">
        <is>
          <t>2025-07-10 17:03:35.688 IST</t>
        </is>
      </c>
      <c r="M1773" t="inlineStr">
        <is>
          <t>Sameer Shaik</t>
        </is>
      </c>
      <c r="N1773" t="inlineStr">
        <is>
          <t>Yes</t>
        </is>
      </c>
      <c r="O1773" t="inlineStr">
        <is>
          <t>Yes</t>
        </is>
      </c>
      <c r="P1773" t="inlineStr">
        <is>
          <t>Sameer Shaik</t>
        </is>
      </c>
      <c r="Q1773" t="inlineStr">
        <is>
          <t>Neutral</t>
        </is>
      </c>
    </row>
    <row r="1774">
      <c r="A1774" t="inlineStr">
        <is>
          <t>mohit.p</t>
        </is>
      </c>
      <c r="B1774" t="inlineStr">
        <is>
          <t>Mohit Pargaie</t>
        </is>
      </c>
      <c r="C1774" t="inlineStr">
        <is>
          <t>mohit.p@osmosys.co</t>
        </is>
      </c>
      <c r="D1774" t="inlineStr">
        <is>
          <t>incident-reporter</t>
        </is>
      </c>
      <c r="E1774">
        <f>HYPERLINK("http://gitlab.osmosys.co/incident-reporter/incident-reporter-api", "OQSHA-API")</f>
        <v/>
      </c>
      <c r="F1774">
        <f>HYPERLINK("http://gitlab.osmosys.co/incident-reporter/incident-reporter-api/-/merge_requests/4018", "fix: add file type validation for ptw upload media function")</f>
        <v/>
      </c>
      <c r="G1774" t="inlineStr">
        <is>
          <t>fix/file-type-bug</t>
        </is>
      </c>
      <c r="H1774" t="inlineStr">
        <is>
          <t>sprint-17</t>
        </is>
      </c>
      <c r="I1774" t="inlineStr">
        <is>
          <t>merged</t>
        </is>
      </c>
      <c r="J1774" t="inlineStr">
        <is>
          <t>3bf2f50715690b923615493c0e2d3cdc281bdd8f</t>
        </is>
      </c>
      <c r="K1774">
        <f>HYPERLINK("http://gitlab.osmosys.co/incident-reporter/incident-reporter-api/-/merge_requests/4018#note_234206", "Variable name should be in camelCase?")</f>
        <v/>
      </c>
      <c r="L1774" t="inlineStr">
        <is>
          <t>2025-07-10 17:03:35.762 IST</t>
        </is>
      </c>
      <c r="M1774" t="inlineStr">
        <is>
          <t>Sameer Shaik</t>
        </is>
      </c>
      <c r="N1774" t="inlineStr">
        <is>
          <t>Yes</t>
        </is>
      </c>
      <c r="O1774" t="inlineStr">
        <is>
          <t>Yes</t>
        </is>
      </c>
      <c r="P1774" t="inlineStr">
        <is>
          <t>Sameer Shaik</t>
        </is>
      </c>
      <c r="Q1774" t="inlineStr">
        <is>
          <t>Neutral</t>
        </is>
      </c>
    </row>
    <row r="1775">
      <c r="A1775" t="inlineStr">
        <is>
          <t>mohit.p</t>
        </is>
      </c>
      <c r="B1775" t="inlineStr">
        <is>
          <t>Mohit Pargaie</t>
        </is>
      </c>
      <c r="C1775" t="inlineStr">
        <is>
          <t>mohit.p@osmosys.co</t>
        </is>
      </c>
      <c r="D1775" t="inlineStr">
        <is>
          <t>incident-reporter</t>
        </is>
      </c>
      <c r="E1775">
        <f>HYPERLINK("http://gitlab.osmosys.co/incident-reporter/incident-reporter-api", "OQSHA-API")</f>
        <v/>
      </c>
      <c r="F1775">
        <f>HYPERLINK("http://gitlab.osmosys.co/incident-reporter/incident-reporter-api/-/merge_requests/4018", "fix: add file type validation for ptw upload media function")</f>
        <v/>
      </c>
      <c r="G1775" t="inlineStr">
        <is>
          <t>fix/file-type-bug</t>
        </is>
      </c>
      <c r="H1775" t="inlineStr">
        <is>
          <t>sprint-17</t>
        </is>
      </c>
      <c r="I1775" t="inlineStr">
        <is>
          <t>merged</t>
        </is>
      </c>
      <c r="J1775" t="inlineStr">
        <is>
          <t>f84dc3d7eaa04070bf320953daf916b417bae604</t>
        </is>
      </c>
      <c r="K1775">
        <f>HYPERLINK("http://gitlab.osmosys.co/incident-reporter/incident-reporter-api/-/merge_requests/4018#note_234207", "The variables currentFileExtension and attachmentType are NOT required.")</f>
        <v/>
      </c>
      <c r="L1775" t="inlineStr">
        <is>
          <t>2025-07-10 17:03:35.869 IST</t>
        </is>
      </c>
      <c r="M1775" t="inlineStr">
        <is>
          <t>Sameer Shaik</t>
        </is>
      </c>
      <c r="N1775" t="inlineStr">
        <is>
          <t>Yes</t>
        </is>
      </c>
      <c r="O1775" t="inlineStr">
        <is>
          <t>Yes</t>
        </is>
      </c>
      <c r="P1775" t="inlineStr">
        <is>
          <t>Sameer Shaik</t>
        </is>
      </c>
      <c r="Q1775" t="inlineStr">
        <is>
          <t>Neutral</t>
        </is>
      </c>
    </row>
    <row r="1776">
      <c r="A1776" t="inlineStr">
        <is>
          <t>jatin.g</t>
        </is>
      </c>
      <c r="B1776" t="inlineStr">
        <is>
          <t>Jatin Gupta</t>
        </is>
      </c>
      <c r="C1776" t="inlineStr">
        <is>
          <t>jatin.g@osmosys.co</t>
        </is>
      </c>
      <c r="D1776" t="inlineStr">
        <is>
          <t>osmosys-research-and-development</t>
        </is>
      </c>
      <c r="E1776">
        <f>HYPERLINK("http://gitlab.osmosys.co/osmosys-research-and-development/cctv-attendance", "cctv-attendance")</f>
        <v/>
      </c>
      <c r="F1776">
        <f>HYPERLINK("http://gitlab.osmosys.co/osmosys-research-and-development/cctv-attendance/-/merge_requests/24", "fix: keep only unique identified users")</f>
        <v/>
      </c>
      <c r="G1776" t="inlineStr">
        <is>
          <t>fix/duplicate</t>
        </is>
      </c>
      <c r="H1776" t="inlineStr">
        <is>
          <t>main</t>
        </is>
      </c>
      <c r="I1776" t="inlineStr">
        <is>
          <t>opened</t>
        </is>
      </c>
      <c r="J1776" t="inlineStr"/>
      <c r="K1776" t="inlineStr"/>
      <c r="L1776" t="inlineStr"/>
      <c r="M1776" t="inlineStr"/>
      <c r="N1776" t="inlineStr"/>
      <c r="O1776" t="inlineStr"/>
      <c r="P1776" t="inlineStr"/>
      <c r="Q1776" t="inlineStr"/>
    </row>
    <row r="1777">
      <c r="A1777" t="inlineStr">
        <is>
          <t>jatin.g</t>
        </is>
      </c>
      <c r="B1777" t="inlineStr">
        <is>
          <t>Jatin Gupta</t>
        </is>
      </c>
      <c r="C1777" t="inlineStr">
        <is>
          <t>jatin.g@osmosys.co</t>
        </is>
      </c>
      <c r="D1777" t="inlineStr">
        <is>
          <t>osmosys-research-and-development</t>
        </is>
      </c>
      <c r="E1777">
        <f>HYPERLINK("http://gitlab.osmosys.co/osmosys-research-and-development/cctv-attendance", "cctv-attendance")</f>
        <v/>
      </c>
      <c r="F1777">
        <f>HYPERLINK("http://gitlab.osmosys.co/osmosys-research-and-development/cctv-attendance/-/merge_requests/23", "feat: allow setting max request size for IR api from .env file")</f>
        <v/>
      </c>
      <c r="G1777" t="inlineStr">
        <is>
          <t>feat/request-size</t>
        </is>
      </c>
      <c r="H1777" t="inlineStr">
        <is>
          <t>main</t>
        </is>
      </c>
      <c r="I1777" t="inlineStr">
        <is>
          <t>merged</t>
        </is>
      </c>
      <c r="J1777" t="inlineStr"/>
      <c r="K1777" t="inlineStr"/>
      <c r="L1777" t="inlineStr"/>
      <c r="M1777" t="inlineStr"/>
      <c r="N1777" t="inlineStr"/>
      <c r="O1777" t="inlineStr"/>
      <c r="P1777" t="inlineStr"/>
      <c r="Q1777" t="inlineStr"/>
    </row>
    <row r="1778">
      <c r="A1778" t="inlineStr">
        <is>
          <t>jatin.g</t>
        </is>
      </c>
      <c r="B1778" t="inlineStr">
        <is>
          <t>Jatin Gupta</t>
        </is>
      </c>
      <c r="C1778" t="inlineStr">
        <is>
          <t>jatin.g@osmosys.co</t>
        </is>
      </c>
      <c r="D1778" t="inlineStr">
        <is>
          <t>osmosys-research-and-development</t>
        </is>
      </c>
      <c r="E1778">
        <f>HYPERLINK("http://gitlab.osmosys.co/osmosys-research-and-development/cctv-attendance", "cctv-attendance")</f>
        <v/>
      </c>
      <c r="F1778">
        <f>HYPERLINK("http://gitlab.osmosys.co/osmosys-research-and-development/cctv-attendance/-/merge_requests/22", "feat: batch incident attachments to respect 30MB IIS request size limit")</f>
        <v/>
      </c>
      <c r="G1778" t="inlineStr">
        <is>
          <t>fix/image</t>
        </is>
      </c>
      <c r="H1778" t="inlineStr">
        <is>
          <t>main</t>
        </is>
      </c>
      <c r="I1778" t="inlineStr">
        <is>
          <t>merged</t>
        </is>
      </c>
      <c r="J1778" t="inlineStr"/>
      <c r="K1778" t="inlineStr"/>
      <c r="L1778" t="inlineStr"/>
      <c r="M1778" t="inlineStr"/>
      <c r="N1778" t="inlineStr"/>
      <c r="O1778" t="inlineStr"/>
      <c r="P1778" t="inlineStr"/>
      <c r="Q1778" t="inlineStr"/>
    </row>
    <row r="1779">
      <c r="A1779" t="inlineStr">
        <is>
          <t>jatin.g</t>
        </is>
      </c>
      <c r="B1779" t="inlineStr">
        <is>
          <t>Jatin Gupta</t>
        </is>
      </c>
      <c r="C1779" t="inlineStr">
        <is>
          <t>jatin.g@osmosys.co</t>
        </is>
      </c>
      <c r="D1779" t="inlineStr">
        <is>
          <t>osmosys-research-and-development</t>
        </is>
      </c>
      <c r="E1779">
        <f>HYPERLINK("http://gitlab.osmosys.co/osmosys-research-and-development/cctv-attendance", "cctv-attendance")</f>
        <v/>
      </c>
      <c r="F1779">
        <f>HYPERLINK("http://gitlab.osmosys.co/osmosys-research-and-development/cctv-attendance/-/merge_requests/21", "feat: add scheduler job for auto cleanup task")</f>
        <v/>
      </c>
      <c r="G1779" t="inlineStr">
        <is>
          <t>feat/cleanup</t>
        </is>
      </c>
      <c r="H1779" t="inlineStr">
        <is>
          <t>main</t>
        </is>
      </c>
      <c r="I1779" t="inlineStr">
        <is>
          <t>merged</t>
        </is>
      </c>
      <c r="J1779" t="inlineStr"/>
      <c r="K1779" t="inlineStr"/>
      <c r="L1779" t="inlineStr"/>
      <c r="M1779" t="inlineStr"/>
      <c r="N1779" t="inlineStr"/>
      <c r="O1779" t="inlineStr"/>
      <c r="P1779" t="inlineStr"/>
      <c r="Q1779" t="inlineStr"/>
    </row>
    <row r="1780">
      <c r="A1780" t="inlineStr">
        <is>
          <t>jatin.g</t>
        </is>
      </c>
      <c r="B1780" t="inlineStr">
        <is>
          <t>Jatin Gupta</t>
        </is>
      </c>
      <c r="C1780" t="inlineStr">
        <is>
          <t>jatin.g@osmosys.co</t>
        </is>
      </c>
      <c r="D1780" t="inlineStr">
        <is>
          <t>osmosys-research-and-development</t>
        </is>
      </c>
      <c r="E1780">
        <f>HYPERLINK("http://gitlab.osmosys.co/osmosys-research-and-development/audit-log", "audit-log")</f>
        <v/>
      </c>
      <c r="F1780">
        <f>HYPERLINK("http://gitlab.osmosys.co/osmosys-research-and-development/audit-log/-/merge_requests/78", "refactor: update docker compose to read host and port values from .env")</f>
        <v/>
      </c>
      <c r="G1780" t="inlineStr">
        <is>
          <t>feat/docker</t>
        </is>
      </c>
      <c r="H1780" t="inlineStr">
        <is>
          <t>main</t>
        </is>
      </c>
      <c r="I1780" t="inlineStr">
        <is>
          <t>merged</t>
        </is>
      </c>
      <c r="J1780" t="inlineStr"/>
      <c r="K1780" t="inlineStr"/>
      <c r="L1780" t="inlineStr"/>
      <c r="M1780" t="inlineStr"/>
      <c r="N1780" t="inlineStr"/>
      <c r="O1780" t="inlineStr"/>
      <c r="P1780" t="inlineStr"/>
      <c r="Q1780" t="inlineStr"/>
    </row>
    <row r="1781">
      <c r="A1781" t="inlineStr">
        <is>
          <t>jatin.g</t>
        </is>
      </c>
      <c r="B1781" t="inlineStr">
        <is>
          <t>Jatin Gupta</t>
        </is>
      </c>
      <c r="C1781" t="inlineStr">
        <is>
          <t>jatin.g@osmosys.co</t>
        </is>
      </c>
      <c r="D1781" t="inlineStr">
        <is>
          <t>osmosys-research-and-development</t>
        </is>
      </c>
      <c r="E1781">
        <f>HYPERLINK("http://gitlab.osmosys.co/osmosys-research-and-development/audit-log", "audit-log")</f>
        <v/>
      </c>
      <c r="F1781">
        <f>HYPERLINK("http://gitlab.osmosys.co/osmosys-research-and-development/audit-log/-/merge_requests/77", "feat: add centralized ErrorMessages class")</f>
        <v/>
      </c>
      <c r="G1781" t="inlineStr">
        <is>
          <t>feat/error</t>
        </is>
      </c>
      <c r="H1781" t="inlineStr">
        <is>
          <t>main</t>
        </is>
      </c>
      <c r="I1781" t="inlineStr">
        <is>
          <t>merged</t>
        </is>
      </c>
      <c r="J1781" t="inlineStr"/>
      <c r="K1781" t="inlineStr"/>
      <c r="L1781" t="inlineStr"/>
      <c r="M1781" t="inlineStr"/>
      <c r="N1781" t="inlineStr"/>
      <c r="O1781" t="inlineStr"/>
      <c r="P1781" t="inlineStr"/>
      <c r="Q1781" t="inlineStr"/>
    </row>
    <row r="1782">
      <c r="A1782" t="inlineStr">
        <is>
          <t>jatin.g</t>
        </is>
      </c>
      <c r="B1782" t="inlineStr">
        <is>
          <t>Jatin Gupta</t>
        </is>
      </c>
      <c r="C1782" t="inlineStr">
        <is>
          <t>jatin.g@osmosys.co</t>
        </is>
      </c>
      <c r="D1782" t="inlineStr">
        <is>
          <t>osmosys-research-and-development</t>
        </is>
      </c>
      <c r="E1782">
        <f>HYPERLINK("http://gitlab.osmosys.co/osmosys-research-and-development/document-extractor", "document-extractor")</f>
        <v/>
      </c>
      <c r="F1782">
        <f>HYPERLINK("http://gitlab.osmosys.co/osmosys-research-and-development/document-extractor/-/merge_requests/5", "chore: update readme file")</f>
        <v/>
      </c>
      <c r="G1782" t="inlineStr">
        <is>
          <t>chore/readme</t>
        </is>
      </c>
      <c r="H1782" t="inlineStr">
        <is>
          <t>main</t>
        </is>
      </c>
      <c r="I1782" t="inlineStr">
        <is>
          <t>closed</t>
        </is>
      </c>
      <c r="J1782" t="inlineStr"/>
      <c r="K1782" t="inlineStr"/>
      <c r="L1782" t="inlineStr"/>
      <c r="M1782" t="inlineStr"/>
      <c r="N1782" t="inlineStr"/>
      <c r="O1782" t="inlineStr"/>
      <c r="P1782" t="inlineStr"/>
      <c r="Q1782" t="inlineStr"/>
    </row>
    <row r="1783">
      <c r="A1783" t="inlineStr">
        <is>
          <t>jatin.g</t>
        </is>
      </c>
      <c r="B1783" t="inlineStr">
        <is>
          <t>Jatin Gupta</t>
        </is>
      </c>
      <c r="C1783" t="inlineStr">
        <is>
          <t>jatin.g@osmosys.co</t>
        </is>
      </c>
      <c r="D1783" t="inlineStr">
        <is>
          <t>osmosys-research-and-development</t>
        </is>
      </c>
      <c r="E1783">
        <f>HYPERLINK("http://gitlab.osmosys.co/osmosys-research-and-development/document-extractor", "document-extractor")</f>
        <v/>
      </c>
      <c r="F1783">
        <f>HYPERLINK("http://gitlab.osmosys.co/osmosys-research-and-development/document-extractor/-/merge_requests/4", "feat: add docker files")</f>
        <v/>
      </c>
      <c r="G1783" t="inlineStr">
        <is>
          <t>feat/docker</t>
        </is>
      </c>
      <c r="H1783" t="inlineStr">
        <is>
          <t>main</t>
        </is>
      </c>
      <c r="I1783" t="inlineStr">
        <is>
          <t>closed</t>
        </is>
      </c>
      <c r="J1783" t="inlineStr"/>
      <c r="K1783" t="inlineStr"/>
      <c r="L1783" t="inlineStr"/>
      <c r="M1783" t="inlineStr"/>
      <c r="N1783" t="inlineStr"/>
      <c r="O1783" t="inlineStr"/>
      <c r="P1783" t="inlineStr"/>
      <c r="Q1783" t="inlineStr"/>
    </row>
    <row r="1784">
      <c r="A1784" t="inlineStr">
        <is>
          <t>jatin.g</t>
        </is>
      </c>
      <c r="B1784" t="inlineStr">
        <is>
          <t>Jatin Gupta</t>
        </is>
      </c>
      <c r="C1784" t="inlineStr">
        <is>
          <t>jatin.g@osmosys.co</t>
        </is>
      </c>
      <c r="D1784" t="inlineStr">
        <is>
          <t>osmosys-research-and-development</t>
        </is>
      </c>
      <c r="E1784">
        <f>HYPERLINK("http://gitlab.osmosys.co/osmosys-research-and-development/document-extractor", "document-extractor")</f>
        <v/>
      </c>
      <c r="F1784">
        <f>HYPERLINK("http://gitlab.osmosys.co/osmosys-research-and-development/document-extractor/-/merge_requests/3", "feat: add streamlit user interface")</f>
        <v/>
      </c>
      <c r="G1784" t="inlineStr">
        <is>
          <t>feat/ui</t>
        </is>
      </c>
      <c r="H1784" t="inlineStr">
        <is>
          <t>main</t>
        </is>
      </c>
      <c r="I1784" t="inlineStr">
        <is>
          <t>closed</t>
        </is>
      </c>
      <c r="J1784" t="inlineStr"/>
      <c r="K1784" t="inlineStr"/>
      <c r="L1784" t="inlineStr"/>
      <c r="M1784" t="inlineStr"/>
      <c r="N1784" t="inlineStr"/>
      <c r="O1784" t="inlineStr"/>
      <c r="P1784" t="inlineStr"/>
      <c r="Q1784" t="inlineStr"/>
    </row>
    <row r="1785">
      <c r="A1785" t="inlineStr">
        <is>
          <t>jatin.g</t>
        </is>
      </c>
      <c r="B1785" t="inlineStr">
        <is>
          <t>Jatin Gupta</t>
        </is>
      </c>
      <c r="C1785" t="inlineStr">
        <is>
          <t>jatin.g@osmosys.co</t>
        </is>
      </c>
      <c r="D1785" t="inlineStr">
        <is>
          <t>osmosys-research-and-development</t>
        </is>
      </c>
      <c r="E1785">
        <f>HYPERLINK("http://gitlab.osmosys.co/osmosys-research-and-development/document-extractor", "document-extractor")</f>
        <v/>
      </c>
      <c r="F1785">
        <f>HYPERLINK("http://gitlab.osmosys.co/osmosys-research-and-development/document-extractor/-/merge_requests/2", "feat: add llm call for parsing the raw text to template")</f>
        <v/>
      </c>
      <c r="G1785" t="inlineStr">
        <is>
          <t>feat/llm</t>
        </is>
      </c>
      <c r="H1785" t="inlineStr">
        <is>
          <t>main</t>
        </is>
      </c>
      <c r="I1785" t="inlineStr">
        <is>
          <t>closed</t>
        </is>
      </c>
      <c r="J1785" t="inlineStr"/>
      <c r="K1785" t="inlineStr"/>
      <c r="L1785" t="inlineStr"/>
      <c r="M1785" t="inlineStr"/>
      <c r="N1785" t="inlineStr"/>
      <c r="O1785" t="inlineStr"/>
      <c r="P1785" t="inlineStr"/>
      <c r="Q1785" t="inlineStr"/>
    </row>
    <row r="1786">
      <c r="A1786" t="inlineStr">
        <is>
          <t>jatin.g</t>
        </is>
      </c>
      <c r="B1786" t="inlineStr">
        <is>
          <t>Jatin Gupta</t>
        </is>
      </c>
      <c r="C1786" t="inlineStr">
        <is>
          <t>jatin.g@osmosys.co</t>
        </is>
      </c>
      <c r="D1786" t="inlineStr">
        <is>
          <t>osmosys-research-and-development</t>
        </is>
      </c>
      <c r="E1786">
        <f>HYPERLINK("http://gitlab.osmosys.co/osmosys-research-and-development/document-extractor", "document-extractor")</f>
        <v/>
      </c>
      <c r="F1786">
        <f>HYPERLINK("http://gitlab.osmosys.co/osmosys-research-and-development/document-extractor/-/merge_requests/1", "feat: add fastapi server for extracting text from images")</f>
        <v/>
      </c>
      <c r="G1786" t="inlineStr">
        <is>
          <t>feat/models</t>
        </is>
      </c>
      <c r="H1786" t="inlineStr">
        <is>
          <t>main</t>
        </is>
      </c>
      <c r="I1786" t="inlineStr">
        <is>
          <t>merged</t>
        </is>
      </c>
      <c r="J1786" t="inlineStr"/>
      <c r="K1786" t="inlineStr"/>
      <c r="L1786" t="inlineStr"/>
      <c r="M1786" t="inlineStr"/>
      <c r="N1786" t="inlineStr"/>
      <c r="O1786" t="inlineStr"/>
      <c r="P1786" t="inlineStr"/>
      <c r="Q1786" t="inlineStr"/>
    </row>
    <row r="1787">
      <c r="A1787" t="inlineStr">
        <is>
          <t>jatin.g</t>
        </is>
      </c>
      <c r="B1787" t="inlineStr">
        <is>
          <t>Jatin Gupta</t>
        </is>
      </c>
      <c r="C1787" t="inlineStr">
        <is>
          <t>jatin.g@osmosys.co</t>
        </is>
      </c>
      <c r="D1787" t="inlineStr">
        <is>
          <t>osmosys-research-and-development/facemate</t>
        </is>
      </c>
      <c r="E1787">
        <f>HYPERLINK("http://gitlab.osmosys.co/osmosys-research-and-development/facemate/facemate-api", "facemate-api")</f>
        <v/>
      </c>
      <c r="F1787">
        <f>HYPERLINK("http://gitlab.osmosys.co/osmosys-research-and-development/facemate/facemate-api/-/merge_requests/107", "feat: move faiss initialisation logic to background service")</f>
        <v/>
      </c>
      <c r="G1787" t="inlineStr">
        <is>
          <t>feat/startup</t>
        </is>
      </c>
      <c r="H1787" t="inlineStr">
        <is>
          <t>main</t>
        </is>
      </c>
      <c r="I1787" t="inlineStr">
        <is>
          <t>merged</t>
        </is>
      </c>
      <c r="J1787" t="inlineStr">
        <is>
          <t>3eeed452eaf81c8115681b5b5f2252268d854780</t>
        </is>
      </c>
      <c r="K1787">
        <f>HYPERLINK("http://gitlab.osmosys.co/osmosys-research-and-development/facemate/facemate-api/-/merge_requests/107#note_238785", "why not just make it a function and call it everywhere else instead of copying the same logic.")</f>
        <v/>
      </c>
      <c r="L1787" t="inlineStr">
        <is>
          <t>2025-07-18 13:34:57.597 IST</t>
        </is>
      </c>
      <c r="M1787" t="inlineStr">
        <is>
          <t>Vishnu</t>
        </is>
      </c>
      <c r="N1787" t="inlineStr">
        <is>
          <t>Yes</t>
        </is>
      </c>
      <c r="O1787" t="inlineStr">
        <is>
          <t>Yes</t>
        </is>
      </c>
      <c r="P1787" t="inlineStr">
        <is>
          <t>Vishnu</t>
        </is>
      </c>
      <c r="Q1787" t="inlineStr">
        <is>
          <t>Bad</t>
        </is>
      </c>
    </row>
    <row r="1788">
      <c r="A1788" t="inlineStr">
        <is>
          <t>jatin.g</t>
        </is>
      </c>
      <c r="B1788" t="inlineStr">
        <is>
          <t>Jatin Gupta</t>
        </is>
      </c>
      <c r="C1788" t="inlineStr">
        <is>
          <t>jatin.g@osmosys.co</t>
        </is>
      </c>
      <c r="D1788" t="inlineStr">
        <is>
          <t>osmosys-research-and-development/facemate</t>
        </is>
      </c>
      <c r="E1788">
        <f>HYPERLINK("http://gitlab.osmosys.co/osmosys-research-and-development/facemate/facemate-api", "facemate-api")</f>
        <v/>
      </c>
      <c r="F1788">
        <f>HYPERLINK("http://gitlab.osmosys.co/osmosys-research-and-development/facemate/facemate-api/-/merge_requests/107", "feat: move faiss initialisation logic to background service")</f>
        <v/>
      </c>
      <c r="G1788" t="inlineStr">
        <is>
          <t>feat/startup</t>
        </is>
      </c>
      <c r="H1788" t="inlineStr">
        <is>
          <t>main</t>
        </is>
      </c>
      <c r="I1788" t="inlineStr">
        <is>
          <t>merged</t>
        </is>
      </c>
      <c r="J1788" t="inlineStr">
        <is>
          <t>3eeed452eaf81c8115681b5b5f2252268d854780</t>
        </is>
      </c>
      <c r="K1788">
        <f>HYPERLINK("http://gitlab.osmosys.co/osmosys-research-and-development/facemate/facemate-api/-/merge_requests/107#note_239112", "Updated to function call")</f>
        <v/>
      </c>
      <c r="L1788" t="inlineStr">
        <is>
          <t>2025-07-21 10:41:47.409 IST</t>
        </is>
      </c>
      <c r="M1788" t="inlineStr">
        <is>
          <t>Jatin Gupta</t>
        </is>
      </c>
      <c r="N1788" t="inlineStr">
        <is>
          <t>No</t>
        </is>
      </c>
      <c r="O1788" t="inlineStr">
        <is>
          <t>Yes</t>
        </is>
      </c>
      <c r="P1788" t="inlineStr">
        <is>
          <t>Vishnu</t>
        </is>
      </c>
      <c r="Q1788" t="inlineStr">
        <is>
          <t>Bad</t>
        </is>
      </c>
    </row>
    <row r="1789">
      <c r="A1789" t="inlineStr">
        <is>
          <t>jatin.g</t>
        </is>
      </c>
      <c r="B1789" t="inlineStr">
        <is>
          <t>Jatin Gupta</t>
        </is>
      </c>
      <c r="C1789" t="inlineStr">
        <is>
          <t>jatin.g@osmosys.co</t>
        </is>
      </c>
      <c r="D1789" t="inlineStr">
        <is>
          <t>osmosys-research-and-development/facemate</t>
        </is>
      </c>
      <c r="E1789">
        <f>HYPERLINK("http://gitlab.osmosys.co/osmosys-research-and-development/facemate/facemate-api", "facemate-api")</f>
        <v/>
      </c>
      <c r="F1789">
        <f>HYPERLINK("http://gitlab.osmosys.co/osmosys-research-and-development/facemate/facemate-api/-/merge_requests/107", "feat: move faiss initialisation logic to background service")</f>
        <v/>
      </c>
      <c r="G1789" t="inlineStr">
        <is>
          <t>feat/startup</t>
        </is>
      </c>
      <c r="H1789" t="inlineStr">
        <is>
          <t>main</t>
        </is>
      </c>
      <c r="I1789" t="inlineStr">
        <is>
          <t>merged</t>
        </is>
      </c>
      <c r="J1789" t="inlineStr">
        <is>
          <t>877d93d0f27479c76b45e1430061dcd535ec378d</t>
        </is>
      </c>
      <c r="K1789">
        <f>HYPERLINK("http://gitlab.osmosys.co/osmosys-research-and-development/facemate/facemate-api/-/merge_requests/107#note_238787", "Is this test properly with new clean setup, and other cases where there are new migrations?")</f>
        <v/>
      </c>
      <c r="L1789" t="inlineStr">
        <is>
          <t>2025-07-18 13:35:31.668 IST</t>
        </is>
      </c>
      <c r="M1789" t="inlineStr">
        <is>
          <t>Vishnu</t>
        </is>
      </c>
      <c r="N1789" t="inlineStr">
        <is>
          <t>Yes</t>
        </is>
      </c>
      <c r="O1789" t="inlineStr">
        <is>
          <t>No</t>
        </is>
      </c>
      <c r="P1789" t="inlineStr"/>
      <c r="Q1789" t="inlineStr">
        <is>
          <t>Bad</t>
        </is>
      </c>
    </row>
    <row r="1790">
      <c r="A1790" t="inlineStr">
        <is>
          <t>jatin.g</t>
        </is>
      </c>
      <c r="B1790" t="inlineStr">
        <is>
          <t>Jatin Gupta</t>
        </is>
      </c>
      <c r="C1790" t="inlineStr">
        <is>
          <t>jatin.g@osmosys.co</t>
        </is>
      </c>
      <c r="D1790" t="inlineStr">
        <is>
          <t>osmosys-research-and-development/facemate</t>
        </is>
      </c>
      <c r="E1790">
        <f>HYPERLINK("http://gitlab.osmosys.co/osmosys-research-and-development/facemate/facemate-api", "facemate-api")</f>
        <v/>
      </c>
      <c r="F1790">
        <f>HYPERLINK("http://gitlab.osmosys.co/osmosys-research-and-development/facemate/facemate-api/-/merge_requests/106", "refactor: centralize error messages in ErrorMessages class")</f>
        <v/>
      </c>
      <c r="G1790" t="inlineStr">
        <is>
          <t>feat/error</t>
        </is>
      </c>
      <c r="H1790" t="inlineStr">
        <is>
          <t>main</t>
        </is>
      </c>
      <c r="I1790" t="inlineStr">
        <is>
          <t>merged</t>
        </is>
      </c>
      <c r="J1790" t="inlineStr"/>
      <c r="K1790" t="inlineStr"/>
      <c r="L1790" t="inlineStr"/>
      <c r="M1790" t="inlineStr"/>
      <c r="N1790" t="inlineStr"/>
      <c r="O1790" t="inlineStr"/>
      <c r="P1790" t="inlineStr"/>
      <c r="Q1790" t="inlineStr"/>
    </row>
    <row r="1791">
      <c r="A1791" t="inlineStr">
        <is>
          <t>jatin.g</t>
        </is>
      </c>
      <c r="B1791" t="inlineStr">
        <is>
          <t>Jatin Gupta</t>
        </is>
      </c>
      <c r="C1791" t="inlineStr">
        <is>
          <t>jatin.g@osmosys.co</t>
        </is>
      </c>
      <c r="D1791" t="inlineStr">
        <is>
          <t>osmosys-research-and-development/facemate</t>
        </is>
      </c>
      <c r="E1791">
        <f>HYPERLINK("http://gitlab.osmosys.co/osmosys-research-and-development/facemate/facemate-api", "facemate-api")</f>
        <v/>
      </c>
      <c r="F1791">
        <f>HYPERLINK("http://gitlab.osmosys.co/osmosys-research-and-development/facemate/facemate-api/-/merge_requests/105", "fix: faiss IVFIndexFlat deletion crash")</f>
        <v/>
      </c>
      <c r="G1791" t="inlineStr">
        <is>
          <t>fix/delete</t>
        </is>
      </c>
      <c r="H1791" t="inlineStr">
        <is>
          <t>main</t>
        </is>
      </c>
      <c r="I1791" t="inlineStr">
        <is>
          <t>merged</t>
        </is>
      </c>
      <c r="J1791" t="inlineStr"/>
      <c r="K1791" t="inlineStr"/>
      <c r="L1791" t="inlineStr"/>
      <c r="M1791" t="inlineStr"/>
      <c r="N1791" t="inlineStr"/>
      <c r="O1791" t="inlineStr"/>
      <c r="P1791" t="inlineStr"/>
      <c r="Q1791" t="inlineStr"/>
    </row>
    <row r="1792">
      <c r="A1792" t="inlineStr">
        <is>
          <t>jatin.g</t>
        </is>
      </c>
      <c r="B1792" t="inlineStr">
        <is>
          <t>Jatin Gupta</t>
        </is>
      </c>
      <c r="C1792" t="inlineStr">
        <is>
          <t>jatin.g@osmosys.co</t>
        </is>
      </c>
      <c r="D1792" t="inlineStr">
        <is>
          <t>osmosys-research-and-development/facemate</t>
        </is>
      </c>
      <c r="E1792">
        <f>HYPERLINK("http://gitlab.osmosys.co/osmosys-research-and-development/facemate/facemate-api", "facemate-api")</f>
        <v/>
      </c>
      <c r="F1792">
        <f>HYPERLINK("http://gitlab.osmosys.co/osmosys-research-and-development/facemate/facemate-api/-/merge_requests/104", "feat: add scheduler job for auto cleanup task")</f>
        <v/>
      </c>
      <c r="G1792" t="inlineStr">
        <is>
          <t>feat/cleanup</t>
        </is>
      </c>
      <c r="H1792" t="inlineStr">
        <is>
          <t>main</t>
        </is>
      </c>
      <c r="I1792" t="inlineStr">
        <is>
          <t>merged</t>
        </is>
      </c>
      <c r="J1792" t="inlineStr"/>
      <c r="K1792" t="inlineStr"/>
      <c r="L1792" t="inlineStr"/>
      <c r="M1792" t="inlineStr"/>
      <c r="N1792" t="inlineStr"/>
      <c r="O1792" t="inlineStr"/>
      <c r="P1792" t="inlineStr"/>
      <c r="Q1792" t="inlineStr"/>
    </row>
    <row r="1793">
      <c r="A1793" t="inlineStr">
        <is>
          <t>jatin.g</t>
        </is>
      </c>
      <c r="B1793" t="inlineStr">
        <is>
          <t>Jatin Gupta</t>
        </is>
      </c>
      <c r="C1793" t="inlineStr">
        <is>
          <t>jatin.g@osmosys.co</t>
        </is>
      </c>
      <c r="D1793" t="inlineStr">
        <is>
          <t>osmosys-research-and-development/facemate</t>
        </is>
      </c>
      <c r="E1793">
        <f>HYPERLINK("http://gitlab.osmosys.co/osmosys-research-and-development/facemate/facemate-api", "facemate-api")</f>
        <v/>
      </c>
      <c r="F1793">
        <f>HYPERLINK("http://gitlab.osmosys.co/osmosys-research-and-development/facemate/facemate-api/-/merge_requests/103", "chore: update version to 2.0.0 for swagger doc")</f>
        <v/>
      </c>
      <c r="G1793" t="inlineStr">
        <is>
          <t>chore/version</t>
        </is>
      </c>
      <c r="H1793" t="inlineStr">
        <is>
          <t>main</t>
        </is>
      </c>
      <c r="I1793" t="inlineStr">
        <is>
          <t>merged</t>
        </is>
      </c>
      <c r="J1793" t="inlineStr"/>
      <c r="K1793" t="inlineStr"/>
      <c r="L1793" t="inlineStr"/>
      <c r="M1793" t="inlineStr"/>
      <c r="N1793" t="inlineStr"/>
      <c r="O1793" t="inlineStr"/>
      <c r="P1793" t="inlineStr"/>
      <c r="Q1793" t="inlineStr"/>
    </row>
    <row r="1794">
      <c r="A1794" t="inlineStr">
        <is>
          <t>jatin.g</t>
        </is>
      </c>
      <c r="B1794" t="inlineStr">
        <is>
          <t>Jatin Gupta</t>
        </is>
      </c>
      <c r="C1794" t="inlineStr">
        <is>
          <t>jatin.g@osmosys.co</t>
        </is>
      </c>
      <c r="D1794" t="inlineStr">
        <is>
          <t>osmosys-research-and-development/facemate</t>
        </is>
      </c>
      <c r="E1794">
        <f>HYPERLINK("http://gitlab.osmosys.co/osmosys-research-and-development/facemate/facemate-api", "facemate-api")</f>
        <v/>
      </c>
      <c r="F1794">
        <f>HYPERLINK("http://gitlab.osmosys.co/osmosys-research-and-development/facemate/facemate-api/-/merge_requests/102", "chore: update version to 2.0.0")</f>
        <v/>
      </c>
      <c r="G1794" t="inlineStr">
        <is>
          <t>chore/version</t>
        </is>
      </c>
      <c r="H1794" t="inlineStr">
        <is>
          <t>main</t>
        </is>
      </c>
      <c r="I1794" t="inlineStr">
        <is>
          <t>merged</t>
        </is>
      </c>
      <c r="J1794" t="inlineStr"/>
      <c r="K1794" t="inlineStr"/>
      <c r="L1794" t="inlineStr"/>
      <c r="M1794" t="inlineStr"/>
      <c r="N1794" t="inlineStr"/>
      <c r="O1794" t="inlineStr"/>
      <c r="P1794" t="inlineStr"/>
      <c r="Q1794" t="inlineStr"/>
    </row>
    <row r="1795">
      <c r="A1795" t="inlineStr">
        <is>
          <t>jatin.g</t>
        </is>
      </c>
      <c r="B1795" t="inlineStr">
        <is>
          <t>Jatin Gupta</t>
        </is>
      </c>
      <c r="C1795" t="inlineStr">
        <is>
          <t>jatin.g@osmosys.co</t>
        </is>
      </c>
      <c r="D1795" t="inlineStr">
        <is>
          <t>osmosys-research-and-development/facemate</t>
        </is>
      </c>
      <c r="E1795">
        <f>HYPERLINK("http://gitlab.osmosys.co/osmosys-research-and-development/facemate/facemate-api", "facemate-api")</f>
        <v/>
      </c>
      <c r="F1795">
        <f>HYPERLINK("http://gitlab.osmosys.co/osmosys-research-and-development/facemate/facemate-api/-/merge_requests/101", "docs: add guide for model switching")</f>
        <v/>
      </c>
      <c r="G1795" t="inlineStr">
        <is>
          <t>docs/model</t>
        </is>
      </c>
      <c r="H1795" t="inlineStr">
        <is>
          <t>main</t>
        </is>
      </c>
      <c r="I1795" t="inlineStr">
        <is>
          <t>merged</t>
        </is>
      </c>
      <c r="J1795" t="inlineStr"/>
      <c r="K1795" t="inlineStr"/>
      <c r="L1795" t="inlineStr"/>
      <c r="M1795" t="inlineStr"/>
      <c r="N1795" t="inlineStr"/>
      <c r="O1795" t="inlineStr"/>
      <c r="P1795" t="inlineStr"/>
      <c r="Q1795" t="inlineStr"/>
    </row>
    <row r="1796">
      <c r="A1796" t="inlineStr">
        <is>
          <t>jatin.g</t>
        </is>
      </c>
      <c r="B1796" t="inlineStr">
        <is>
          <t>Jatin Gupta</t>
        </is>
      </c>
      <c r="C1796" t="inlineStr">
        <is>
          <t>jatin.g@osmosys.co</t>
        </is>
      </c>
      <c r="D1796" t="inlineStr">
        <is>
          <t>osmosys-research-and-development/facemate</t>
        </is>
      </c>
      <c r="E1796">
        <f>HYPERLINK("http://gitlab.osmosys.co/osmosys-research-and-development/facemate/facemate-api", "facemate-api")</f>
        <v/>
      </c>
      <c r="F1796">
        <f>HYPERLINK("http://gitlab.osmosys.co/osmosys-research-and-development/facemate/facemate-api/-/merge_requests/100", "docs: add guide for model switching")</f>
        <v/>
      </c>
      <c r="G1796" t="inlineStr">
        <is>
          <t>docs/migration</t>
        </is>
      </c>
      <c r="H1796" t="inlineStr">
        <is>
          <t>main</t>
        </is>
      </c>
      <c r="I1796" t="inlineStr">
        <is>
          <t>closed</t>
        </is>
      </c>
      <c r="J1796" t="inlineStr"/>
      <c r="K1796" t="inlineStr"/>
      <c r="L1796" t="inlineStr"/>
      <c r="M1796" t="inlineStr"/>
      <c r="N1796" t="inlineStr"/>
      <c r="O1796" t="inlineStr"/>
      <c r="P1796" t="inlineStr"/>
      <c r="Q1796" t="inlineStr"/>
    </row>
    <row r="1797">
      <c r="A1797" t="inlineStr">
        <is>
          <t>jatin.g</t>
        </is>
      </c>
      <c r="B1797" t="inlineStr">
        <is>
          <t>Jatin Gupta</t>
        </is>
      </c>
      <c r="C1797" t="inlineStr">
        <is>
          <t>jatin.g@osmosys.co</t>
        </is>
      </c>
      <c r="D1797" t="inlineStr">
        <is>
          <t>osmosys-research-and-development/facemate</t>
        </is>
      </c>
      <c r="E1797">
        <f>HYPERLINK("http://gitlab.osmosys.co/osmosys-research-and-development/facemate/facemate-api", "facemate-api")</f>
        <v/>
      </c>
      <c r="F1797">
        <f>HYPERLINK("http://gitlab.osmosys.co/osmosys-research-and-development/facemate/facemate-api/-/merge_requests/99", "feat: update legacy routes application code to handle dynamic model selection")</f>
        <v/>
      </c>
      <c r="G1797" t="inlineStr">
        <is>
          <t>feat/legacy</t>
        </is>
      </c>
      <c r="H1797" t="inlineStr">
        <is>
          <t>main</t>
        </is>
      </c>
      <c r="I1797" t="inlineStr">
        <is>
          <t>merged</t>
        </is>
      </c>
      <c r="J1797" t="inlineStr"/>
      <c r="K1797" t="inlineStr"/>
      <c r="L1797" t="inlineStr"/>
      <c r="M1797" t="inlineStr"/>
      <c r="N1797" t="inlineStr"/>
      <c r="O1797" t="inlineStr"/>
      <c r="P1797" t="inlineStr"/>
      <c r="Q1797" t="inlineStr"/>
    </row>
    <row r="1798">
      <c r="A1798" t="inlineStr">
        <is>
          <t>jatin.g</t>
        </is>
      </c>
      <c r="B1798" t="inlineStr">
        <is>
          <t>Jatin Gupta</t>
        </is>
      </c>
      <c r="C1798" t="inlineStr">
        <is>
          <t>jatin.g@osmosys.co</t>
        </is>
      </c>
      <c r="D1798" t="inlineStr">
        <is>
          <t>osmosys-research-and-development/facemate</t>
        </is>
      </c>
      <c r="E1798">
        <f>HYPERLINK("http://gitlab.osmosys.co/osmosys-research-and-development/facemate/facemate-api", "facemate-api")</f>
        <v/>
      </c>
      <c r="F1798">
        <f>HYPERLINK("http://gitlab.osmosys.co/osmosys-research-and-development/facemate/facemate-api/-/merge_requests/98", "feat: update application code to handle two models")</f>
        <v/>
      </c>
      <c r="G1798" t="inlineStr">
        <is>
          <t>feat/models</t>
        </is>
      </c>
      <c r="H1798" t="inlineStr">
        <is>
          <t>main</t>
        </is>
      </c>
      <c r="I1798" t="inlineStr">
        <is>
          <t>merged</t>
        </is>
      </c>
      <c r="J1798" t="inlineStr">
        <is>
          <t>2a37e9b17ddee87ca21d8c8cac6cd8160cad02db</t>
        </is>
      </c>
      <c r="K1798">
        <f>HYPERLINK("http://gitlab.osmosys.co/osmosys-research-and-development/facemate/facemate-api/-/merge_requests/98#note_231235", "Too many changes, since this is a script which we run once it is fine.")</f>
        <v/>
      </c>
      <c r="L1798" t="inlineStr">
        <is>
          <t>2025-07-02 13:57:27.473 IST</t>
        </is>
      </c>
      <c r="M1798" t="inlineStr">
        <is>
          <t>Vishnu</t>
        </is>
      </c>
      <c r="N1798" t="inlineStr">
        <is>
          <t>Yes</t>
        </is>
      </c>
      <c r="O1798" t="inlineStr">
        <is>
          <t>No</t>
        </is>
      </c>
      <c r="P1798" t="inlineStr"/>
      <c r="Q1798" t="inlineStr">
        <is>
          <t>Neutral</t>
        </is>
      </c>
    </row>
    <row r="1799">
      <c r="A1799" t="inlineStr">
        <is>
          <t>hitesh.k</t>
        </is>
      </c>
      <c r="B1799" t="inlineStr">
        <is>
          <t>Hitesh Kandpal</t>
        </is>
      </c>
      <c r="C1799" t="inlineStr">
        <is>
          <t>hitesh.k@osmosys.co</t>
        </is>
      </c>
      <c r="D1799" t="inlineStr">
        <is>
          <t>incident-reporter</t>
        </is>
      </c>
      <c r="E1799">
        <f>HYPERLINK("http://gitlab.osmosys.co/incident-reporter/incident-reporter-angular-portal", "OQSHA Portal")</f>
        <v/>
      </c>
      <c r="F1799">
        <f>HYPERLINK("http://gitlab.osmosys.co/incident-reporter/incident-reporter-angular-portal/-/merge_requests/3702", "fix: update validation to not allow only attachments to be uploaded in comments")</f>
        <v/>
      </c>
      <c r="G1799" t="inlineStr">
        <is>
          <t>fix/fix-comment-attachment</t>
        </is>
      </c>
      <c r="H1799" t="inlineStr">
        <is>
          <t>sprint-19</t>
        </is>
      </c>
      <c r="I1799" t="inlineStr">
        <is>
          <t>opened</t>
        </is>
      </c>
      <c r="J1799" t="inlineStr"/>
      <c r="K1799" t="inlineStr"/>
      <c r="L1799" t="inlineStr"/>
      <c r="M1799" t="inlineStr"/>
      <c r="N1799" t="inlineStr"/>
      <c r="O1799" t="inlineStr"/>
      <c r="P1799" t="inlineStr"/>
      <c r="Q1799" t="inlineStr"/>
    </row>
    <row r="1800">
      <c r="A1800" t="inlineStr">
        <is>
          <t>hitesh.k</t>
        </is>
      </c>
      <c r="B1800" t="inlineStr">
        <is>
          <t>Hitesh Kandpal</t>
        </is>
      </c>
      <c r="C1800" t="inlineStr">
        <is>
          <t>hitesh.k@osmosys.co</t>
        </is>
      </c>
      <c r="D1800" t="inlineStr">
        <is>
          <t>incident-reporter</t>
        </is>
      </c>
      <c r="E1800">
        <f>HYPERLINK("http://gitlab.osmosys.co/incident-reporter/incident-reporter-angular-portal", "OQSHA Portal")</f>
        <v/>
      </c>
      <c r="F1800">
        <f>HYPERLINK("http://gitlab.osmosys.co/incident-reporter/incident-reporter-angular-portal/-/merge_requests/3701", "fix: add table for adding multiple tasks")</f>
        <v/>
      </c>
      <c r="G1800" t="inlineStr">
        <is>
          <t>feat/update-task-ui</t>
        </is>
      </c>
      <c r="H1800" t="inlineStr">
        <is>
          <t>sprint-19</t>
        </is>
      </c>
      <c r="I1800" t="inlineStr">
        <is>
          <t>opened</t>
        </is>
      </c>
      <c r="J1800" t="inlineStr"/>
      <c r="K1800" t="inlineStr"/>
      <c r="L1800" t="inlineStr"/>
      <c r="M1800" t="inlineStr"/>
      <c r="N1800" t="inlineStr"/>
      <c r="O1800" t="inlineStr"/>
      <c r="P1800" t="inlineStr"/>
      <c r="Q1800" t="inlineStr"/>
    </row>
    <row r="1801">
      <c r="A1801" t="inlineStr">
        <is>
          <t>hitesh.k</t>
        </is>
      </c>
      <c r="B1801" t="inlineStr">
        <is>
          <t>Hitesh Kandpal</t>
        </is>
      </c>
      <c r="C1801" t="inlineStr">
        <is>
          <t>hitesh.k@osmosys.co</t>
        </is>
      </c>
      <c r="D1801" t="inlineStr">
        <is>
          <t>incident-reporter</t>
        </is>
      </c>
      <c r="E1801">
        <f>HYPERLINK("http://gitlab.osmosys.co/incident-reporter/incident-reporter-angular-portal", "OQSHA Portal")</f>
        <v/>
      </c>
      <c r="F1801">
        <f>HYPERLINK("http://gitlab.osmosys.co/incident-reporter/incident-reporter-angular-portal/-/merge_requests/3686", "Draft: Fix/fix multiple ui issues")</f>
        <v/>
      </c>
      <c r="G1801" t="inlineStr">
        <is>
          <t>fix/fix-multiple-ui-issues</t>
        </is>
      </c>
      <c r="H1801" t="inlineStr">
        <is>
          <t>sprint-19</t>
        </is>
      </c>
      <c r="I1801" t="inlineStr">
        <is>
          <t>opened</t>
        </is>
      </c>
      <c r="J1801" t="inlineStr"/>
      <c r="K1801" t="inlineStr"/>
      <c r="L1801" t="inlineStr"/>
      <c r="M1801" t="inlineStr"/>
      <c r="N1801" t="inlineStr"/>
      <c r="O1801" t="inlineStr"/>
      <c r="P1801" t="inlineStr"/>
      <c r="Q1801" t="inlineStr"/>
    </row>
    <row r="1802">
      <c r="A1802" t="inlineStr">
        <is>
          <t>hitesh.k</t>
        </is>
      </c>
      <c r="B1802" t="inlineStr">
        <is>
          <t>Hitesh Kandpal</t>
        </is>
      </c>
      <c r="C1802" t="inlineStr">
        <is>
          <t>hitesh.k@osmosys.co</t>
        </is>
      </c>
      <c r="D1802" t="inlineStr">
        <is>
          <t>incident-reporter</t>
        </is>
      </c>
      <c r="E1802">
        <f>HYPERLINK("http://gitlab.osmosys.co/incident-reporter/incident-reporter-angular-portal", "OQSHA Portal")</f>
        <v/>
      </c>
      <c r="F1802">
        <f>HYPERLINK("http://gitlab.osmosys.co/incident-reporter/incident-reporter-angular-portal/-/merge_requests/3683", "feat: remove comment submit button and update api accordingly")</f>
        <v/>
      </c>
      <c r="G1802" t="inlineStr">
        <is>
          <t>fix/position-hira-buttons</t>
        </is>
      </c>
      <c r="H1802" t="inlineStr">
        <is>
          <t>sprint-19</t>
        </is>
      </c>
      <c r="I1802" t="inlineStr">
        <is>
          <t>merged</t>
        </is>
      </c>
      <c r="J1802" t="inlineStr">
        <is>
          <t>94674649625d2be5da5d09a12ed143e2dff9384f</t>
        </is>
      </c>
      <c r="K1802">
        <f>HYPERLINK("http://gitlab.osmosys.co/incident-reporter/incident-reporter-angular-portal/-/merge_requests/3683#note_245669", "PR is not good please improve it")</f>
        <v/>
      </c>
      <c r="L1802" t="inlineStr">
        <is>
          <t>2025-08-01 17:57:30.128 IST</t>
        </is>
      </c>
      <c r="M1802" t="inlineStr">
        <is>
          <t>Soundariya B</t>
        </is>
      </c>
      <c r="N1802" t="inlineStr">
        <is>
          <t>Yes</t>
        </is>
      </c>
      <c r="O1802" t="inlineStr">
        <is>
          <t>Yes</t>
        </is>
      </c>
      <c r="P1802" t="inlineStr">
        <is>
          <t>Soundariya B</t>
        </is>
      </c>
      <c r="Q1802" t="inlineStr">
        <is>
          <t>Bad</t>
        </is>
      </c>
    </row>
    <row r="1803">
      <c r="A1803" t="inlineStr">
        <is>
          <t>hitesh.k</t>
        </is>
      </c>
      <c r="B1803" t="inlineStr">
        <is>
          <t>Hitesh Kandpal</t>
        </is>
      </c>
      <c r="C1803" t="inlineStr">
        <is>
          <t>hitesh.k@osmosys.co</t>
        </is>
      </c>
      <c r="D1803" t="inlineStr">
        <is>
          <t>incident-reporter</t>
        </is>
      </c>
      <c r="E1803">
        <f>HYPERLINK("http://gitlab.osmosys.co/incident-reporter/incident-reporter-angular-portal", "OQSHA Portal")</f>
        <v/>
      </c>
      <c r="F1803">
        <f>HYPERLINK("http://gitlab.osmosys.co/incident-reporter/incident-reporter-angular-portal/-/merge_requests/3683", "feat: remove comment submit button and update api accordingly")</f>
        <v/>
      </c>
      <c r="G1803" t="inlineStr">
        <is>
          <t>fix/position-hira-buttons</t>
        </is>
      </c>
      <c r="H1803" t="inlineStr">
        <is>
          <t>sprint-19</t>
        </is>
      </c>
      <c r="I1803" t="inlineStr">
        <is>
          <t>merged</t>
        </is>
      </c>
      <c r="J1803" t="inlineStr">
        <is>
          <t>94674649625d2be5da5d09a12ed143e2dff9384f</t>
        </is>
      </c>
      <c r="K1803">
        <f>HYPERLINK("http://gitlab.osmosys.co/incident-reporter/incident-reporter-angular-portal/-/merge_requests/3683#note_246421", "added functional and working video and removed from draft status")</f>
        <v/>
      </c>
      <c r="L1803" t="inlineStr">
        <is>
          <t>2025-08-02 17:39:32.787 IST</t>
        </is>
      </c>
      <c r="M1803" t="inlineStr">
        <is>
          <t>Hitesh Kandpal</t>
        </is>
      </c>
      <c r="N1803" t="inlineStr">
        <is>
          <t>No</t>
        </is>
      </c>
      <c r="O1803" t="inlineStr">
        <is>
          <t>Yes</t>
        </is>
      </c>
      <c r="P1803" t="inlineStr">
        <is>
          <t>Soundariya B</t>
        </is>
      </c>
      <c r="Q1803" t="inlineStr">
        <is>
          <t>Bad</t>
        </is>
      </c>
    </row>
    <row r="1804">
      <c r="A1804" t="inlineStr">
        <is>
          <t>hitesh.k</t>
        </is>
      </c>
      <c r="B1804" t="inlineStr">
        <is>
          <t>Hitesh Kandpal</t>
        </is>
      </c>
      <c r="C1804" t="inlineStr">
        <is>
          <t>hitesh.k@osmosys.co</t>
        </is>
      </c>
      <c r="D1804" t="inlineStr">
        <is>
          <t>incident-reporter</t>
        </is>
      </c>
      <c r="E1804">
        <f>HYPERLINK("http://gitlab.osmosys.co/incident-reporter/incident-reporter-angular-portal", "OQSHA Portal")</f>
        <v/>
      </c>
      <c r="F1804">
        <f>HYPERLINK("http://gitlab.osmosys.co/incident-reporter/incident-reporter-angular-portal/-/merge_requests/3683", "feat: remove comment submit button and update api accordingly")</f>
        <v/>
      </c>
      <c r="G1804" t="inlineStr">
        <is>
          <t>fix/position-hira-buttons</t>
        </is>
      </c>
      <c r="H1804" t="inlineStr">
        <is>
          <t>sprint-19</t>
        </is>
      </c>
      <c r="I1804" t="inlineStr">
        <is>
          <t>merged</t>
        </is>
      </c>
      <c r="J1804" t="inlineStr">
        <is>
          <t>8ed2a715060011ffc59aebad8a41e2c7205813c2</t>
        </is>
      </c>
      <c r="K1804">
        <f>HYPERLINK("http://gitlab.osmosys.co/incident-reporter/incident-reporter-angular-portal/-/merge_requests/3683#note_245670", "As its functional so please attach test case or screen recording")</f>
        <v/>
      </c>
      <c r="L1804" t="inlineStr">
        <is>
          <t>2025-08-01 17:57:30.163 IST</t>
        </is>
      </c>
      <c r="M1804" t="inlineStr">
        <is>
          <t>Soundariya B</t>
        </is>
      </c>
      <c r="N1804" t="inlineStr">
        <is>
          <t>Yes</t>
        </is>
      </c>
      <c r="O1804" t="inlineStr">
        <is>
          <t>Yes</t>
        </is>
      </c>
      <c r="P1804" t="inlineStr">
        <is>
          <t>Soundariya B</t>
        </is>
      </c>
      <c r="Q1804" t="inlineStr">
        <is>
          <t>Bad</t>
        </is>
      </c>
    </row>
    <row r="1805">
      <c r="A1805" t="inlineStr">
        <is>
          <t>hitesh.k</t>
        </is>
      </c>
      <c r="B1805" t="inlineStr">
        <is>
          <t>Hitesh Kandpal</t>
        </is>
      </c>
      <c r="C1805" t="inlineStr">
        <is>
          <t>hitesh.k@osmosys.co</t>
        </is>
      </c>
      <c r="D1805" t="inlineStr">
        <is>
          <t>incident-reporter</t>
        </is>
      </c>
      <c r="E1805">
        <f>HYPERLINK("http://gitlab.osmosys.co/incident-reporter/incident-reporter-angular-portal", "OQSHA Portal")</f>
        <v/>
      </c>
      <c r="F1805">
        <f>HYPERLINK("http://gitlab.osmosys.co/incident-reporter/incident-reporter-angular-portal/-/merge_requests/3683", "feat: remove comment submit button and update api accordingly")</f>
        <v/>
      </c>
      <c r="G1805" t="inlineStr">
        <is>
          <t>fix/position-hira-buttons</t>
        </is>
      </c>
      <c r="H1805" t="inlineStr">
        <is>
          <t>sprint-19</t>
        </is>
      </c>
      <c r="I1805" t="inlineStr">
        <is>
          <t>merged</t>
        </is>
      </c>
      <c r="J1805" t="inlineStr">
        <is>
          <t>8ed2a715060011ffc59aebad8a41e2c7205813c2</t>
        </is>
      </c>
      <c r="K1805">
        <f>HYPERLINK("http://gitlab.osmosys.co/incident-reporter/incident-reporter-angular-portal/-/merge_requests/3683#note_246420", "added functional and working video and removed from draft status")</f>
        <v/>
      </c>
      <c r="L1805" t="inlineStr">
        <is>
          <t>2025-08-02 17:39:23.298 IST</t>
        </is>
      </c>
      <c r="M1805" t="inlineStr">
        <is>
          <t>Hitesh Kandpal</t>
        </is>
      </c>
      <c r="N1805" t="inlineStr">
        <is>
          <t>No</t>
        </is>
      </c>
      <c r="O1805" t="inlineStr">
        <is>
          <t>Yes</t>
        </is>
      </c>
      <c r="P1805" t="inlineStr">
        <is>
          <t>Soundariya B</t>
        </is>
      </c>
      <c r="Q1805" t="inlineStr">
        <is>
          <t>Bad</t>
        </is>
      </c>
    </row>
    <row r="1806">
      <c r="A1806" t="inlineStr">
        <is>
          <t>hitesh.k</t>
        </is>
      </c>
      <c r="B1806" t="inlineStr">
        <is>
          <t>Hitesh Kandpal</t>
        </is>
      </c>
      <c r="C1806" t="inlineStr">
        <is>
          <t>hitesh.k@osmosys.co</t>
        </is>
      </c>
      <c r="D1806" t="inlineStr">
        <is>
          <t>incident-reporter</t>
        </is>
      </c>
      <c r="E1806">
        <f>HYPERLINK("http://gitlab.osmosys.co/incident-reporter/incident-reporter-angular-portal", "OQSHA Portal")</f>
        <v/>
      </c>
      <c r="F1806">
        <f>HYPERLINK("http://gitlab.osmosys.co/incident-reporter/incident-reporter-angular-portal/-/merge_requests/3683", "feat: remove comment submit button and update api accordingly")</f>
        <v/>
      </c>
      <c r="G1806" t="inlineStr">
        <is>
          <t>fix/position-hira-buttons</t>
        </is>
      </c>
      <c r="H1806" t="inlineStr">
        <is>
          <t>sprint-19</t>
        </is>
      </c>
      <c r="I1806" t="inlineStr">
        <is>
          <t>merged</t>
        </is>
      </c>
      <c r="J1806" t="inlineStr">
        <is>
          <t>8474e6a136c917e1acbf7e0a278ac0b6a8811404</t>
        </is>
      </c>
      <c r="K1806">
        <f>HYPERLINK("http://gitlab.osmosys.co/incident-reporter/incident-reporter-angular-portal/-/merge_requests/3683#note_245671", "Get this key 'CURRENT_USER_DETAILS' from localstorage object in constant file")</f>
        <v/>
      </c>
      <c r="L1806" t="inlineStr">
        <is>
          <t>2025-08-01 17:57:30.232 IST</t>
        </is>
      </c>
      <c r="M1806" t="inlineStr">
        <is>
          <t>Soundariya B</t>
        </is>
      </c>
      <c r="N1806" t="inlineStr">
        <is>
          <t>Yes</t>
        </is>
      </c>
      <c r="O1806" t="inlineStr">
        <is>
          <t>Yes</t>
        </is>
      </c>
      <c r="P1806" t="inlineStr">
        <is>
          <t>Soundariya B</t>
        </is>
      </c>
      <c r="Q1806" t="inlineStr">
        <is>
          <t>Bad</t>
        </is>
      </c>
    </row>
    <row r="1807">
      <c r="A1807" t="inlineStr">
        <is>
          <t>hitesh.k</t>
        </is>
      </c>
      <c r="B1807" t="inlineStr">
        <is>
          <t>Hitesh Kandpal</t>
        </is>
      </c>
      <c r="C1807" t="inlineStr">
        <is>
          <t>hitesh.k@osmosys.co</t>
        </is>
      </c>
      <c r="D1807" t="inlineStr">
        <is>
          <t>incident-reporter</t>
        </is>
      </c>
      <c r="E1807">
        <f>HYPERLINK("http://gitlab.osmosys.co/incident-reporter/incident-reporter-angular-portal", "OQSHA Portal")</f>
        <v/>
      </c>
      <c r="F1807">
        <f>HYPERLINK("http://gitlab.osmosys.co/incident-reporter/incident-reporter-angular-portal/-/merge_requests/3683", "feat: remove comment submit button and update api accordingly")</f>
        <v/>
      </c>
      <c r="G1807" t="inlineStr">
        <is>
          <t>fix/position-hira-buttons</t>
        </is>
      </c>
      <c r="H1807" t="inlineStr">
        <is>
          <t>sprint-19</t>
        </is>
      </c>
      <c r="I1807" t="inlineStr">
        <is>
          <t>merged</t>
        </is>
      </c>
      <c r="J1807" t="inlineStr">
        <is>
          <t>8474e6a136c917e1acbf7e0a278ac0b6a8811404</t>
        </is>
      </c>
      <c r="K1807">
        <f>HYPERLINK("http://gitlab.osmosys.co/incident-reporter/incident-reporter-angular-portal/-/merge_requests/3683#note_246417", "done")</f>
        <v/>
      </c>
      <c r="L1807" t="inlineStr">
        <is>
          <t>2025-08-02 17:36:11.159 IST</t>
        </is>
      </c>
      <c r="M1807" t="inlineStr">
        <is>
          <t>Hitesh Kandpal</t>
        </is>
      </c>
      <c r="N1807" t="inlineStr">
        <is>
          <t>No</t>
        </is>
      </c>
      <c r="O1807" t="inlineStr">
        <is>
          <t>Yes</t>
        </is>
      </c>
      <c r="P1807" t="inlineStr">
        <is>
          <t>Soundariya B</t>
        </is>
      </c>
      <c r="Q1807" t="inlineStr">
        <is>
          <t>Bad</t>
        </is>
      </c>
    </row>
    <row r="1808">
      <c r="A1808" t="inlineStr">
        <is>
          <t>hitesh.k</t>
        </is>
      </c>
      <c r="B1808" t="inlineStr">
        <is>
          <t>Hitesh Kandpal</t>
        </is>
      </c>
      <c r="C1808" t="inlineStr">
        <is>
          <t>hitesh.k@osmosys.co</t>
        </is>
      </c>
      <c r="D1808" t="inlineStr">
        <is>
          <t>incident-reporter</t>
        </is>
      </c>
      <c r="E1808">
        <f>HYPERLINK("http://gitlab.osmosys.co/incident-reporter/incident-reporter-angular-portal", "OQSHA Portal")</f>
        <v/>
      </c>
      <c r="F1808">
        <f>HYPERLINK("http://gitlab.osmosys.co/incident-reporter/incident-reporter-angular-portal/-/merge_requests/3683", "feat: remove comment submit button and update api accordingly")</f>
        <v/>
      </c>
      <c r="G1808" t="inlineStr">
        <is>
          <t>fix/position-hira-buttons</t>
        </is>
      </c>
      <c r="H1808" t="inlineStr">
        <is>
          <t>sprint-19</t>
        </is>
      </c>
      <c r="I1808" t="inlineStr">
        <is>
          <t>merged</t>
        </is>
      </c>
      <c r="J1808" t="inlineStr">
        <is>
          <t>11463b785451a7b9635e82e8e7caf94f180dfe45</t>
        </is>
      </c>
      <c r="K1808">
        <f>HYPERLINK("http://gitlab.osmosys.co/incident-reporter/incident-reporter-angular-portal/-/merge_requests/3683#note_245672", "Please write the code in improvised way
```
const commentEntityId = response?.Data?.Comments?.RiskAssessmentComment?.EntityId;
if (response?.Data?.Comments) {
  const hasAttachments =
    this.uploadedImageAttachmentsForComment.length &gt; 0 ||
    this.uploadedNonImageAttachmentsForComment.length &gt; 0;
  if (hasAttachments &amp;&amp; commentEntityId) {
    await this.uploadAttachmentsOnly(commentEntityId);
  }
  this.resetCommentForm();
  this.getHiraHistoryById(this.hiraId, true);
}
```")</f>
        <v/>
      </c>
      <c r="L1808" t="inlineStr">
        <is>
          <t>2025-08-01 17:57:30.292 IST</t>
        </is>
      </c>
      <c r="M1808" t="inlineStr">
        <is>
          <t>Soundariya B</t>
        </is>
      </c>
      <c r="N1808" t="inlineStr">
        <is>
          <t>Yes</t>
        </is>
      </c>
      <c r="O1808" t="inlineStr">
        <is>
          <t>Yes</t>
        </is>
      </c>
      <c r="P1808" t="inlineStr">
        <is>
          <t>Soundariya B</t>
        </is>
      </c>
      <c r="Q1808" t="inlineStr">
        <is>
          <t>Bad</t>
        </is>
      </c>
    </row>
    <row r="1809">
      <c r="A1809" t="inlineStr">
        <is>
          <t>hitesh.k</t>
        </is>
      </c>
      <c r="B1809" t="inlineStr">
        <is>
          <t>Hitesh Kandpal</t>
        </is>
      </c>
      <c r="C1809" t="inlineStr">
        <is>
          <t>hitesh.k@osmosys.co</t>
        </is>
      </c>
      <c r="D1809" t="inlineStr">
        <is>
          <t>incident-reporter</t>
        </is>
      </c>
      <c r="E1809">
        <f>HYPERLINK("http://gitlab.osmosys.co/incident-reporter/incident-reporter-angular-portal", "OQSHA Portal")</f>
        <v/>
      </c>
      <c r="F1809">
        <f>HYPERLINK("http://gitlab.osmosys.co/incident-reporter/incident-reporter-angular-portal/-/merge_requests/3683", "feat: remove comment submit button and update api accordingly")</f>
        <v/>
      </c>
      <c r="G1809" t="inlineStr">
        <is>
          <t>fix/position-hira-buttons</t>
        </is>
      </c>
      <c r="H1809" t="inlineStr">
        <is>
          <t>sprint-19</t>
        </is>
      </c>
      <c r="I1809" t="inlineStr">
        <is>
          <t>merged</t>
        </is>
      </c>
      <c r="J1809" t="inlineStr">
        <is>
          <t>11463b785451a7b9635e82e8e7caf94f180dfe45</t>
        </is>
      </c>
      <c r="K1809">
        <f>HYPERLINK("http://gitlab.osmosys.co/incident-reporter/incident-reporter-angular-portal/-/merge_requests/3683#note_246419", "done")</f>
        <v/>
      </c>
      <c r="L1809" t="inlineStr">
        <is>
          <t>2025-08-02 17:38:47.101 IST</t>
        </is>
      </c>
      <c r="M1809" t="inlineStr">
        <is>
          <t>Hitesh Kandpal</t>
        </is>
      </c>
      <c r="N1809" t="inlineStr">
        <is>
          <t>No</t>
        </is>
      </c>
      <c r="O1809" t="inlineStr">
        <is>
          <t>Yes</t>
        </is>
      </c>
      <c r="P1809" t="inlineStr">
        <is>
          <t>Soundariya B</t>
        </is>
      </c>
      <c r="Q1809" t="inlineStr">
        <is>
          <t>Bad</t>
        </is>
      </c>
    </row>
    <row r="1810">
      <c r="A1810" t="inlineStr">
        <is>
          <t>hitesh.k</t>
        </is>
      </c>
      <c r="B1810" t="inlineStr">
        <is>
          <t>Hitesh Kandpal</t>
        </is>
      </c>
      <c r="C1810" t="inlineStr">
        <is>
          <t>hitesh.k@osmosys.co</t>
        </is>
      </c>
      <c r="D1810" t="inlineStr">
        <is>
          <t>incident-reporter</t>
        </is>
      </c>
      <c r="E1810">
        <f>HYPERLINK("http://gitlab.osmosys.co/incident-reporter/incident-reporter-angular-portal", "OQSHA Portal")</f>
        <v/>
      </c>
      <c r="F1810">
        <f>HYPERLINK("http://gitlab.osmosys.co/incident-reporter/incident-reporter-angular-portal/-/merge_requests/3683", "feat: remove comment submit button and update api accordingly")</f>
        <v/>
      </c>
      <c r="G1810" t="inlineStr">
        <is>
          <t>fix/position-hira-buttons</t>
        </is>
      </c>
      <c r="H1810" t="inlineStr">
        <is>
          <t>sprint-19</t>
        </is>
      </c>
      <c r="I1810" t="inlineStr">
        <is>
          <t>merged</t>
        </is>
      </c>
      <c r="J1810" t="inlineStr">
        <is>
          <t>166f9ecf3a770613ede7808f258551daa67a2508</t>
        </is>
      </c>
      <c r="K1810">
        <f>HYPERLINK("http://gitlab.osmosys.co/incident-reporter/incident-reporter-angular-portal/-/merge_requests/3683#note_245673", "Please declare the data type.")</f>
        <v/>
      </c>
      <c r="L1810" t="inlineStr">
        <is>
          <t>2025-08-01 17:57:30.367 IST</t>
        </is>
      </c>
      <c r="M1810" t="inlineStr">
        <is>
          <t>Soundariya B</t>
        </is>
      </c>
      <c r="N1810" t="inlineStr">
        <is>
          <t>Yes</t>
        </is>
      </c>
      <c r="O1810" t="inlineStr">
        <is>
          <t>Yes</t>
        </is>
      </c>
      <c r="P1810" t="inlineStr">
        <is>
          <t>Soundariya B</t>
        </is>
      </c>
      <c r="Q1810" t="inlineStr">
        <is>
          <t>Bad</t>
        </is>
      </c>
    </row>
    <row r="1811">
      <c r="A1811" t="inlineStr">
        <is>
          <t>hitesh.k</t>
        </is>
      </c>
      <c r="B1811" t="inlineStr">
        <is>
          <t>Hitesh Kandpal</t>
        </is>
      </c>
      <c r="C1811" t="inlineStr">
        <is>
          <t>hitesh.k@osmosys.co</t>
        </is>
      </c>
      <c r="D1811" t="inlineStr">
        <is>
          <t>incident-reporter</t>
        </is>
      </c>
      <c r="E1811">
        <f>HYPERLINK("http://gitlab.osmosys.co/incident-reporter/incident-reporter-angular-portal", "OQSHA Portal")</f>
        <v/>
      </c>
      <c r="F1811">
        <f>HYPERLINK("http://gitlab.osmosys.co/incident-reporter/incident-reporter-angular-portal/-/merge_requests/3683", "feat: remove comment submit button and update api accordingly")</f>
        <v/>
      </c>
      <c r="G1811" t="inlineStr">
        <is>
          <t>fix/position-hira-buttons</t>
        </is>
      </c>
      <c r="H1811" t="inlineStr">
        <is>
          <t>sprint-19</t>
        </is>
      </c>
      <c r="I1811" t="inlineStr">
        <is>
          <t>merged</t>
        </is>
      </c>
      <c r="J1811" t="inlineStr">
        <is>
          <t>166f9ecf3a770613ede7808f258551daa67a2508</t>
        </is>
      </c>
      <c r="K1811">
        <f>HYPERLINK("http://gitlab.osmosys.co/incident-reporter/incident-reporter-angular-portal/-/merge_requests/3683#note_246418", "done")</f>
        <v/>
      </c>
      <c r="L1811" t="inlineStr">
        <is>
          <t>2025-08-02 17:38:05.621 IST</t>
        </is>
      </c>
      <c r="M1811" t="inlineStr">
        <is>
          <t>Hitesh Kandpal</t>
        </is>
      </c>
      <c r="N1811" t="inlineStr">
        <is>
          <t>No</t>
        </is>
      </c>
      <c r="O1811" t="inlineStr">
        <is>
          <t>Yes</t>
        </is>
      </c>
      <c r="P1811" t="inlineStr">
        <is>
          <t>Soundariya B</t>
        </is>
      </c>
      <c r="Q1811" t="inlineStr">
        <is>
          <t>Bad</t>
        </is>
      </c>
    </row>
    <row r="1812">
      <c r="A1812" t="inlineStr">
        <is>
          <t>hitesh.k</t>
        </is>
      </c>
      <c r="B1812" t="inlineStr">
        <is>
          <t>Hitesh Kandpal</t>
        </is>
      </c>
      <c r="C1812" t="inlineStr">
        <is>
          <t>hitesh.k@osmosys.co</t>
        </is>
      </c>
      <c r="D1812" t="inlineStr">
        <is>
          <t>incident-reporter</t>
        </is>
      </c>
      <c r="E1812">
        <f>HYPERLINK("http://gitlab.osmosys.co/incident-reporter/incident-reporter-angular-portal", "OQSHA Portal")</f>
        <v/>
      </c>
      <c r="F1812">
        <f>HYPERLINK("http://gitlab.osmosys.co/incident-reporter/incident-reporter-angular-portal/-/merge_requests/3675", "fix: render standalone checks for library")</f>
        <v/>
      </c>
      <c r="G1812" t="inlineStr">
        <is>
          <t>fix/library-standalone-checks</t>
        </is>
      </c>
      <c r="H1812" t="inlineStr">
        <is>
          <t>sprint-19</t>
        </is>
      </c>
      <c r="I1812" t="inlineStr">
        <is>
          <t>merged</t>
        </is>
      </c>
      <c r="J1812" t="inlineStr">
        <is>
          <t>c35df9628eef7f5f9e2967b1094eb53513094977</t>
        </is>
      </c>
      <c r="K1812">
        <f>HYPERLINK("http://gitlab.osmosys.co/incident-reporter/incident-reporter-angular-portal/-/merge_requests/3675#note_245136", "Ref this link for radio button - http://gitlab.osmosys.co/incident-reporter/incident-reporter-angular-portal/-/merge_requests/3673#note_245127")</f>
        <v/>
      </c>
      <c r="L1812" t="inlineStr">
        <is>
          <t>2025-07-31 21:14:48.300 IST</t>
        </is>
      </c>
      <c r="M1812" t="inlineStr">
        <is>
          <t>Soundariya B</t>
        </is>
      </c>
      <c r="N1812" t="inlineStr">
        <is>
          <t>Yes</t>
        </is>
      </c>
      <c r="O1812" t="inlineStr">
        <is>
          <t>Yes</t>
        </is>
      </c>
      <c r="P1812" t="inlineStr">
        <is>
          <t>Soundariya B</t>
        </is>
      </c>
      <c r="Q1812" t="inlineStr">
        <is>
          <t>Neutral</t>
        </is>
      </c>
    </row>
    <row r="1813">
      <c r="A1813" t="inlineStr">
        <is>
          <t>hitesh.k</t>
        </is>
      </c>
      <c r="B1813" t="inlineStr">
        <is>
          <t>Hitesh Kandpal</t>
        </is>
      </c>
      <c r="C1813" t="inlineStr">
        <is>
          <t>hitesh.k@osmosys.co</t>
        </is>
      </c>
      <c r="D1813" t="inlineStr">
        <is>
          <t>incident-reporter</t>
        </is>
      </c>
      <c r="E1813">
        <f>HYPERLINK("http://gitlab.osmosys.co/incident-reporter/incident-reporter-angular-portal", "OQSHA Portal")</f>
        <v/>
      </c>
      <c r="F1813">
        <f>HYPERLINK("http://gitlab.osmosys.co/incident-reporter/incident-reporter-angular-portal/-/merge_requests/3675", "fix: render standalone checks for library")</f>
        <v/>
      </c>
      <c r="G1813" t="inlineStr">
        <is>
          <t>fix/library-standalone-checks</t>
        </is>
      </c>
      <c r="H1813" t="inlineStr">
        <is>
          <t>sprint-19</t>
        </is>
      </c>
      <c r="I1813" t="inlineStr">
        <is>
          <t>merged</t>
        </is>
      </c>
      <c r="J1813" t="inlineStr">
        <is>
          <t>c35df9628eef7f5f9e2967b1094eb53513094977</t>
        </is>
      </c>
      <c r="K1813">
        <f>HYPERLINK("http://gitlab.osmosys.co/incident-reporter/incident-reporter-angular-portal/-/merge_requests/3675#note_245335", "can't make dynamic radio button horizontal since it can be a lot and text can be very big, same approach is followed everywhere for dynamic radio button")</f>
        <v/>
      </c>
      <c r="L1813" t="inlineStr">
        <is>
          <t>2025-08-01 13:30:34.217 IST</t>
        </is>
      </c>
      <c r="M1813" t="inlineStr">
        <is>
          <t>Hitesh Kandpal</t>
        </is>
      </c>
      <c r="N1813" t="inlineStr">
        <is>
          <t>No</t>
        </is>
      </c>
      <c r="O1813" t="inlineStr">
        <is>
          <t>Yes</t>
        </is>
      </c>
      <c r="P1813" t="inlineStr">
        <is>
          <t>Soundariya B</t>
        </is>
      </c>
      <c r="Q1813" t="inlineStr">
        <is>
          <t>Neutral</t>
        </is>
      </c>
    </row>
    <row r="1814">
      <c r="A1814" t="inlineStr">
        <is>
          <t>hitesh.k</t>
        </is>
      </c>
      <c r="B1814" t="inlineStr">
        <is>
          <t>Hitesh Kandpal</t>
        </is>
      </c>
      <c r="C1814" t="inlineStr">
        <is>
          <t>hitesh.k@osmosys.co</t>
        </is>
      </c>
      <c r="D1814" t="inlineStr">
        <is>
          <t>incident-reporter</t>
        </is>
      </c>
      <c r="E1814">
        <f>HYPERLINK("http://gitlab.osmosys.co/incident-reporter/incident-reporter-angular-portal", "OQSHA Portal")</f>
        <v/>
      </c>
      <c r="F1814">
        <f>HYPERLINK("http://gitlab.osmosys.co/incident-reporter/incident-reporter-angular-portal/-/merge_requests/3675", "fix: render standalone checks for library")</f>
        <v/>
      </c>
      <c r="G1814" t="inlineStr">
        <is>
          <t>fix/library-standalone-checks</t>
        </is>
      </c>
      <c r="H1814" t="inlineStr">
        <is>
          <t>sprint-19</t>
        </is>
      </c>
      <c r="I1814" t="inlineStr">
        <is>
          <t>merged</t>
        </is>
      </c>
      <c r="J1814" t="inlineStr">
        <is>
          <t>ca7fddb0637417c92ad7945f292ed6353263b7ad</t>
        </is>
      </c>
      <c r="K1814">
        <f>HYPERLINK("http://gitlab.osmosys.co/incident-reporter/incident-reporter-angular-portal/-/merge_requests/3675#note_245137", "Update the PR title to - fix: render standalone checks for library")</f>
        <v/>
      </c>
      <c r="L1814" t="inlineStr">
        <is>
          <t>2025-07-31 21:14:48.343 IST</t>
        </is>
      </c>
      <c r="M1814" t="inlineStr">
        <is>
          <t>Soundariya B</t>
        </is>
      </c>
      <c r="N1814" t="inlineStr">
        <is>
          <t>Yes</t>
        </is>
      </c>
      <c r="O1814" t="inlineStr">
        <is>
          <t>Yes</t>
        </is>
      </c>
      <c r="P1814" t="inlineStr">
        <is>
          <t>Soundariya B</t>
        </is>
      </c>
      <c r="Q1814" t="inlineStr">
        <is>
          <t>Bad</t>
        </is>
      </c>
    </row>
    <row r="1815">
      <c r="A1815" t="inlineStr">
        <is>
          <t>hitesh.k</t>
        </is>
      </c>
      <c r="B1815" t="inlineStr">
        <is>
          <t>Hitesh Kandpal</t>
        </is>
      </c>
      <c r="C1815" t="inlineStr">
        <is>
          <t>hitesh.k@osmosys.co</t>
        </is>
      </c>
      <c r="D1815" t="inlineStr">
        <is>
          <t>incident-reporter</t>
        </is>
      </c>
      <c r="E1815">
        <f>HYPERLINK("http://gitlab.osmosys.co/incident-reporter/incident-reporter-angular-portal", "OQSHA Portal")</f>
        <v/>
      </c>
      <c r="F1815">
        <f>HYPERLINK("http://gitlab.osmosys.co/incident-reporter/incident-reporter-angular-portal/-/merge_requests/3675", "fix: render standalone checks for library")</f>
        <v/>
      </c>
      <c r="G1815" t="inlineStr">
        <is>
          <t>fix/library-standalone-checks</t>
        </is>
      </c>
      <c r="H1815" t="inlineStr">
        <is>
          <t>sprint-19</t>
        </is>
      </c>
      <c r="I1815" t="inlineStr">
        <is>
          <t>merged</t>
        </is>
      </c>
      <c r="J1815" t="inlineStr">
        <is>
          <t>ca7fddb0637417c92ad7945f292ed6353263b7ad</t>
        </is>
      </c>
      <c r="K1815">
        <f>HYPERLINK("http://gitlab.osmosys.co/incident-reporter/incident-reporter-angular-portal/-/merge_requests/3675#note_245332", "done")</f>
        <v/>
      </c>
      <c r="L1815" t="inlineStr">
        <is>
          <t>2025-08-01 13:26:50.646 IST</t>
        </is>
      </c>
      <c r="M1815" t="inlineStr">
        <is>
          <t>Hitesh Kandpal</t>
        </is>
      </c>
      <c r="N1815" t="inlineStr">
        <is>
          <t>No</t>
        </is>
      </c>
      <c r="O1815" t="inlineStr">
        <is>
          <t>Yes</t>
        </is>
      </c>
      <c r="P1815" t="inlineStr">
        <is>
          <t>Soundariya B</t>
        </is>
      </c>
      <c r="Q1815" t="inlineStr">
        <is>
          <t>Bad</t>
        </is>
      </c>
    </row>
    <row r="1816">
      <c r="A1816" t="inlineStr">
        <is>
          <t>hitesh.k</t>
        </is>
      </c>
      <c r="B1816" t="inlineStr">
        <is>
          <t>Hitesh Kandpal</t>
        </is>
      </c>
      <c r="C1816" t="inlineStr">
        <is>
          <t>hitesh.k@osmosys.co</t>
        </is>
      </c>
      <c r="D1816" t="inlineStr">
        <is>
          <t>incident-reporter</t>
        </is>
      </c>
      <c r="E1816">
        <f>HYPERLINK("http://gitlab.osmosys.co/incident-reporter/incident-reporter-angular-portal", "OQSHA Portal")</f>
        <v/>
      </c>
      <c r="F1816">
        <f>HYPERLINK("http://gitlab.osmosys.co/incident-reporter/incident-reporter-angular-portal/-/merge_requests/3675", "fix: render standalone checks for library")</f>
        <v/>
      </c>
      <c r="G1816" t="inlineStr">
        <is>
          <t>fix/library-standalone-checks</t>
        </is>
      </c>
      <c r="H1816" t="inlineStr">
        <is>
          <t>sprint-19</t>
        </is>
      </c>
      <c r="I1816" t="inlineStr">
        <is>
          <t>merged</t>
        </is>
      </c>
      <c r="J1816" t="inlineStr">
        <is>
          <t>ca7fddb0637417c92ad7945f292ed6353263b7ad</t>
        </is>
      </c>
      <c r="K1816">
        <f>HYPERLINK("http://gitlab.osmosys.co/incident-reporter/incident-reporter-angular-portal/-/merge_requests/3675#note_245336", "done")</f>
        <v/>
      </c>
      <c r="L1816" t="inlineStr">
        <is>
          <t>2025-08-01 13:30:38.157 IST</t>
        </is>
      </c>
      <c r="M1816" t="inlineStr">
        <is>
          <t>Hitesh Kandpal</t>
        </is>
      </c>
      <c r="N1816" t="inlineStr">
        <is>
          <t>No</t>
        </is>
      </c>
      <c r="O1816" t="inlineStr">
        <is>
          <t>Yes</t>
        </is>
      </c>
      <c r="P1816" t="inlineStr">
        <is>
          <t>Soundariya B</t>
        </is>
      </c>
      <c r="Q1816" t="inlineStr">
        <is>
          <t>Bad</t>
        </is>
      </c>
    </row>
    <row r="1817">
      <c r="A1817" t="inlineStr">
        <is>
          <t>hitesh.k</t>
        </is>
      </c>
      <c r="B1817" t="inlineStr">
        <is>
          <t>Hitesh Kandpal</t>
        </is>
      </c>
      <c r="C1817" t="inlineStr">
        <is>
          <t>hitesh.k@osmosys.co</t>
        </is>
      </c>
      <c r="D1817" t="inlineStr">
        <is>
          <t>incident-reporter</t>
        </is>
      </c>
      <c r="E1817">
        <f>HYPERLINK("http://gitlab.osmosys.co/incident-reporter/incident-reporter-angular-portal", "OQSHA Portal")</f>
        <v/>
      </c>
      <c r="F1817">
        <f>HYPERLINK("http://gitlab.osmosys.co/incident-reporter/incident-reporter-angular-portal/-/merge_requests/3675", "fix: render standalone checks for library")</f>
        <v/>
      </c>
      <c r="G1817" t="inlineStr">
        <is>
          <t>fix/library-standalone-checks</t>
        </is>
      </c>
      <c r="H1817" t="inlineStr">
        <is>
          <t>sprint-19</t>
        </is>
      </c>
      <c r="I1817" t="inlineStr">
        <is>
          <t>merged</t>
        </is>
      </c>
      <c r="J1817" t="inlineStr">
        <is>
          <t>87541a403a5c241cf990cccb42d5a4a3ea8fc91d</t>
        </is>
      </c>
      <c r="K1817">
        <f>HYPERLINK("http://gitlab.osmosys.co/incident-reporter/incident-reporter-angular-portal/-/merge_requests/3675#note_245139", "Take the check type from constant file")</f>
        <v/>
      </c>
      <c r="L1817" t="inlineStr">
        <is>
          <t>2025-07-31 21:14:48.413 IST</t>
        </is>
      </c>
      <c r="M1817" t="inlineStr">
        <is>
          <t>Soundariya B</t>
        </is>
      </c>
      <c r="N1817" t="inlineStr">
        <is>
          <t>Yes</t>
        </is>
      </c>
      <c r="O1817" t="inlineStr">
        <is>
          <t>Yes</t>
        </is>
      </c>
      <c r="P1817" t="inlineStr">
        <is>
          <t>Soundariya B</t>
        </is>
      </c>
      <c r="Q1817" t="inlineStr">
        <is>
          <t>Bad</t>
        </is>
      </c>
    </row>
    <row r="1818">
      <c r="A1818" t="inlineStr">
        <is>
          <t>hitesh.k</t>
        </is>
      </c>
      <c r="B1818" t="inlineStr">
        <is>
          <t>Hitesh Kandpal</t>
        </is>
      </c>
      <c r="C1818" t="inlineStr">
        <is>
          <t>hitesh.k@osmosys.co</t>
        </is>
      </c>
      <c r="D1818" t="inlineStr">
        <is>
          <t>incident-reporter</t>
        </is>
      </c>
      <c r="E1818">
        <f>HYPERLINK("http://gitlab.osmosys.co/incident-reporter/incident-reporter-angular-portal", "OQSHA Portal")</f>
        <v/>
      </c>
      <c r="F1818">
        <f>HYPERLINK("http://gitlab.osmosys.co/incident-reporter/incident-reporter-angular-portal/-/merge_requests/3675", "fix: render standalone checks for library")</f>
        <v/>
      </c>
      <c r="G1818" t="inlineStr">
        <is>
          <t>fix/library-standalone-checks</t>
        </is>
      </c>
      <c r="H1818" t="inlineStr">
        <is>
          <t>sprint-19</t>
        </is>
      </c>
      <c r="I1818" t="inlineStr">
        <is>
          <t>merged</t>
        </is>
      </c>
      <c r="J1818" t="inlineStr">
        <is>
          <t>87541a403a5c241cf990cccb42d5a4a3ea8fc91d</t>
        </is>
      </c>
      <c r="K1818">
        <f>HYPERLINK("http://gitlab.osmosys.co/incident-reporter/incident-reporter-angular-portal/-/merge_requests/3675#note_245333", "done")</f>
        <v/>
      </c>
      <c r="L1818" t="inlineStr">
        <is>
          <t>2025-08-01 13:28:02.723 IST</t>
        </is>
      </c>
      <c r="M1818" t="inlineStr">
        <is>
          <t>Hitesh Kandpal</t>
        </is>
      </c>
      <c r="N1818" t="inlineStr">
        <is>
          <t>No</t>
        </is>
      </c>
      <c r="O1818" t="inlineStr">
        <is>
          <t>Yes</t>
        </is>
      </c>
      <c r="P1818" t="inlineStr">
        <is>
          <t>Soundariya B</t>
        </is>
      </c>
      <c r="Q1818" t="inlineStr">
        <is>
          <t>Bad</t>
        </is>
      </c>
    </row>
    <row r="1819">
      <c r="A1819" t="inlineStr">
        <is>
          <t>hitesh.k</t>
        </is>
      </c>
      <c r="B1819" t="inlineStr">
        <is>
          <t>Hitesh Kandpal</t>
        </is>
      </c>
      <c r="C1819" t="inlineStr">
        <is>
          <t>hitesh.k@osmosys.co</t>
        </is>
      </c>
      <c r="D1819" t="inlineStr">
        <is>
          <t>incident-reporter</t>
        </is>
      </c>
      <c r="E1819">
        <f>HYPERLINK("http://gitlab.osmosys.co/incident-reporter/incident-reporter-angular-portal", "OQSHA Portal")</f>
        <v/>
      </c>
      <c r="F1819">
        <f>HYPERLINK("http://gitlab.osmosys.co/incident-reporter/incident-reporter-angular-portal/-/merge_requests/3675", "fix: render standalone checks for library")</f>
        <v/>
      </c>
      <c r="G1819" t="inlineStr">
        <is>
          <t>fix/library-standalone-checks</t>
        </is>
      </c>
      <c r="H1819" t="inlineStr">
        <is>
          <t>sprint-19</t>
        </is>
      </c>
      <c r="I1819" t="inlineStr">
        <is>
          <t>merged</t>
        </is>
      </c>
      <c r="J1819" t="inlineStr">
        <is>
          <t>87541a403a5c241cf990cccb42d5a4a3ea8fc91d</t>
        </is>
      </c>
      <c r="K1819">
        <f>HYPERLINK("http://gitlab.osmosys.co/incident-reporter/incident-reporter-angular-portal/-/merge_requests/3675#note_245337", "done")</f>
        <v/>
      </c>
      <c r="L1819" t="inlineStr">
        <is>
          <t>2025-08-01 13:30:43.259 IST</t>
        </is>
      </c>
      <c r="M1819" t="inlineStr">
        <is>
          <t>Hitesh Kandpal</t>
        </is>
      </c>
      <c r="N1819" t="inlineStr">
        <is>
          <t>No</t>
        </is>
      </c>
      <c r="O1819" t="inlineStr">
        <is>
          <t>Yes</t>
        </is>
      </c>
      <c r="P1819" t="inlineStr">
        <is>
          <t>Soundariya B</t>
        </is>
      </c>
      <c r="Q1819" t="inlineStr">
        <is>
          <t>Bad</t>
        </is>
      </c>
    </row>
    <row r="1820">
      <c r="A1820" t="inlineStr">
        <is>
          <t>hitesh.k</t>
        </is>
      </c>
      <c r="B1820" t="inlineStr">
        <is>
          <t>Hitesh Kandpal</t>
        </is>
      </c>
      <c r="C1820" t="inlineStr">
        <is>
          <t>hitesh.k@osmosys.co</t>
        </is>
      </c>
      <c r="D1820" t="inlineStr">
        <is>
          <t>incident-reporter</t>
        </is>
      </c>
      <c r="E1820">
        <f>HYPERLINK("http://gitlab.osmosys.co/incident-reporter/incident-reporter-angular-portal", "OQSHA Portal")</f>
        <v/>
      </c>
      <c r="F1820">
        <f>HYPERLINK("http://gitlab.osmosys.co/incident-reporter/incident-reporter-angular-portal/-/merge_requests/3675", "fix: render standalone checks for library")</f>
        <v/>
      </c>
      <c r="G1820" t="inlineStr">
        <is>
          <t>fix/library-standalone-checks</t>
        </is>
      </c>
      <c r="H1820" t="inlineStr">
        <is>
          <t>sprint-19</t>
        </is>
      </c>
      <c r="I1820" t="inlineStr">
        <is>
          <t>merged</t>
        </is>
      </c>
      <c r="J1820" t="inlineStr">
        <is>
          <t>2556b626af823e45fd855f6e794cb53d1997b75f</t>
        </is>
      </c>
      <c r="K1820">
        <f>HYPERLINK("http://gitlab.osmosys.co/incident-reporter/incident-reporter-angular-portal/-/merge_requests/3675#note_245140", "In MOC, you are using ngIf, and here using ngSwitchCase, why the coding has not been consistent as doing same thing?")</f>
        <v/>
      </c>
      <c r="L1820" t="inlineStr">
        <is>
          <t>2025-07-31 21:14:48.470 IST</t>
        </is>
      </c>
      <c r="M1820" t="inlineStr">
        <is>
          <t>Soundariya B</t>
        </is>
      </c>
      <c r="N1820" t="inlineStr">
        <is>
          <t>Yes</t>
        </is>
      </c>
      <c r="O1820" t="inlineStr">
        <is>
          <t>Yes</t>
        </is>
      </c>
      <c r="P1820" t="inlineStr">
        <is>
          <t>Soundariya B</t>
        </is>
      </c>
      <c r="Q1820" t="inlineStr">
        <is>
          <t>Neutral</t>
        </is>
      </c>
    </row>
    <row r="1821">
      <c r="A1821" t="inlineStr">
        <is>
          <t>hitesh.k</t>
        </is>
      </c>
      <c r="B1821" t="inlineStr">
        <is>
          <t>Hitesh Kandpal</t>
        </is>
      </c>
      <c r="C1821" t="inlineStr">
        <is>
          <t>hitesh.k@osmosys.co</t>
        </is>
      </c>
      <c r="D1821" t="inlineStr">
        <is>
          <t>incident-reporter</t>
        </is>
      </c>
      <c r="E1821">
        <f>HYPERLINK("http://gitlab.osmosys.co/incident-reporter/incident-reporter-angular-portal", "OQSHA Portal")</f>
        <v/>
      </c>
      <c r="F1821">
        <f>HYPERLINK("http://gitlab.osmosys.co/incident-reporter/incident-reporter-angular-portal/-/merge_requests/3675", "fix: render standalone checks for library")</f>
        <v/>
      </c>
      <c r="G1821" t="inlineStr">
        <is>
          <t>fix/library-standalone-checks</t>
        </is>
      </c>
      <c r="H1821" t="inlineStr">
        <is>
          <t>sprint-19</t>
        </is>
      </c>
      <c r="I1821" t="inlineStr">
        <is>
          <t>merged</t>
        </is>
      </c>
      <c r="J1821" t="inlineStr">
        <is>
          <t>2556b626af823e45fd855f6e794cb53d1997b75f</t>
        </is>
      </c>
      <c r="K1821">
        <f>HYPERLINK("http://gitlab.osmosys.co/incident-reporter/incident-reporter-angular-portal/-/merge_requests/3675#note_245330", "here structure was different for form, library page is not following the same code as moc or other modules like inspection and all, so i can't directly copy paste moc code here")</f>
        <v/>
      </c>
      <c r="L1821" t="inlineStr">
        <is>
          <t>2025-08-01 13:26:24.217 IST</t>
        </is>
      </c>
      <c r="M1821" t="inlineStr">
        <is>
          <t>Hitesh Kandpal</t>
        </is>
      </c>
      <c r="N1821" t="inlineStr">
        <is>
          <t>No</t>
        </is>
      </c>
      <c r="O1821" t="inlineStr">
        <is>
          <t>Yes</t>
        </is>
      </c>
      <c r="P1821" t="inlineStr">
        <is>
          <t>Soundariya B</t>
        </is>
      </c>
      <c r="Q1821" t="inlineStr">
        <is>
          <t>Neutral</t>
        </is>
      </c>
    </row>
    <row r="1822">
      <c r="A1822" t="inlineStr">
        <is>
          <t>hitesh.k</t>
        </is>
      </c>
      <c r="B1822" t="inlineStr">
        <is>
          <t>Hitesh Kandpal</t>
        </is>
      </c>
      <c r="C1822" t="inlineStr">
        <is>
          <t>hitesh.k@osmosys.co</t>
        </is>
      </c>
      <c r="D1822" t="inlineStr">
        <is>
          <t>incident-reporter</t>
        </is>
      </c>
      <c r="E1822">
        <f>HYPERLINK("http://gitlab.osmosys.co/incident-reporter/incident-reporter-angular-portal", "OQSHA Portal")</f>
        <v/>
      </c>
      <c r="F1822">
        <f>HYPERLINK("http://gitlab.osmosys.co/incident-reporter/incident-reporter-angular-portal/-/merge_requests/3675", "fix: render standalone checks for library")</f>
        <v/>
      </c>
      <c r="G1822" t="inlineStr">
        <is>
          <t>fix/library-standalone-checks</t>
        </is>
      </c>
      <c r="H1822" t="inlineStr">
        <is>
          <t>sprint-19</t>
        </is>
      </c>
      <c r="I1822" t="inlineStr">
        <is>
          <t>merged</t>
        </is>
      </c>
      <c r="J1822" t="inlineStr">
        <is>
          <t>a0d3b0051909a1257d02ef552f83b4f12eaa37f6</t>
        </is>
      </c>
      <c r="K1822">
        <f>HYPERLINK("http://gitlab.osmosys.co/incident-reporter/incident-reporter-angular-portal/-/merge_requests/3675#note_245141", "While binding using the ternary operator is not a good practice, please improve and fix it - Fix is everywhere in this PR")</f>
        <v/>
      </c>
      <c r="L1822" t="inlineStr">
        <is>
          <t>2025-07-31 21:14:48.525 IST</t>
        </is>
      </c>
      <c r="M1822" t="inlineStr">
        <is>
          <t>Soundariya B</t>
        </is>
      </c>
      <c r="N1822" t="inlineStr">
        <is>
          <t>Yes</t>
        </is>
      </c>
      <c r="O1822" t="inlineStr">
        <is>
          <t>Yes</t>
        </is>
      </c>
      <c r="P1822" t="inlineStr">
        <is>
          <t>Soundariya B</t>
        </is>
      </c>
      <c r="Q1822" t="inlineStr">
        <is>
          <t>Neutral</t>
        </is>
      </c>
    </row>
    <row r="1823">
      <c r="A1823" t="inlineStr">
        <is>
          <t>hitesh.k</t>
        </is>
      </c>
      <c r="B1823" t="inlineStr">
        <is>
          <t>Hitesh Kandpal</t>
        </is>
      </c>
      <c r="C1823" t="inlineStr">
        <is>
          <t>hitesh.k@osmosys.co</t>
        </is>
      </c>
      <c r="D1823" t="inlineStr">
        <is>
          <t>incident-reporter</t>
        </is>
      </c>
      <c r="E1823">
        <f>HYPERLINK("http://gitlab.osmosys.co/incident-reporter/incident-reporter-angular-portal", "OQSHA Portal")</f>
        <v/>
      </c>
      <c r="F1823">
        <f>HYPERLINK("http://gitlab.osmosys.co/incident-reporter/incident-reporter-angular-portal/-/merge_requests/3675", "fix: render standalone checks for library")</f>
        <v/>
      </c>
      <c r="G1823" t="inlineStr">
        <is>
          <t>fix/library-standalone-checks</t>
        </is>
      </c>
      <c r="H1823" t="inlineStr">
        <is>
          <t>sprint-19</t>
        </is>
      </c>
      <c r="I1823" t="inlineStr">
        <is>
          <t>merged</t>
        </is>
      </c>
      <c r="J1823" t="inlineStr">
        <is>
          <t>a0d3b0051909a1257d02ef552f83b4f12eaa37f6</t>
        </is>
      </c>
      <c r="K1823">
        <f>HYPERLINK("http://gitlab.osmosys.co/incident-reporter/incident-reporter-angular-portal/-/merge_requests/3675#note_245325", "Using a simple ternary operator isn't bad practice—if the logic is straightforward, it's better to keep it inline. Creating separate variables for each check can be unnecessarily complex and may cause conflicts if multiple checks share the same type")</f>
        <v/>
      </c>
      <c r="L1823" t="inlineStr">
        <is>
          <t>2025-08-01 13:21:23.143 IST</t>
        </is>
      </c>
      <c r="M1823" t="inlineStr">
        <is>
          <t>Hitesh Kandpal</t>
        </is>
      </c>
      <c r="N1823" t="inlineStr">
        <is>
          <t>No</t>
        </is>
      </c>
      <c r="O1823" t="inlineStr">
        <is>
          <t>Yes</t>
        </is>
      </c>
      <c r="P1823" t="inlineStr">
        <is>
          <t>Soundariya B</t>
        </is>
      </c>
      <c r="Q1823" t="inlineStr">
        <is>
          <t>Neutral</t>
        </is>
      </c>
    </row>
    <row r="1824">
      <c r="A1824" t="inlineStr">
        <is>
          <t>hitesh.k</t>
        </is>
      </c>
      <c r="B1824" t="inlineStr">
        <is>
          <t>Hitesh Kandpal</t>
        </is>
      </c>
      <c r="C1824" t="inlineStr">
        <is>
          <t>hitesh.k@osmosys.co</t>
        </is>
      </c>
      <c r="D1824" t="inlineStr">
        <is>
          <t>incident-reporter</t>
        </is>
      </c>
      <c r="E1824">
        <f>HYPERLINK("http://gitlab.osmosys.co/incident-reporter/incident-reporter-angular-portal", "OQSHA Portal")</f>
        <v/>
      </c>
      <c r="F1824">
        <f>HYPERLINK("http://gitlab.osmosys.co/incident-reporter/incident-reporter-angular-portal/-/merge_requests/3675", "fix: render standalone checks for library")</f>
        <v/>
      </c>
      <c r="G1824" t="inlineStr">
        <is>
          <t>fix/library-standalone-checks</t>
        </is>
      </c>
      <c r="H1824" t="inlineStr">
        <is>
          <t>sprint-19</t>
        </is>
      </c>
      <c r="I1824" t="inlineStr">
        <is>
          <t>merged</t>
        </is>
      </c>
      <c r="J1824" t="inlineStr">
        <is>
          <t>a0d3b0051909a1257d02ef552f83b4f12eaa37f6</t>
        </is>
      </c>
      <c r="K1824">
        <f>HYPERLINK("http://gitlab.osmosys.co/incident-reporter/incident-reporter-angular-portal/-/merge_requests/3675#note_245720", "http://gitlab.osmosys.co/incident-reporter/incident-reporter-angular-portal/-/merge_requests/3673#note_245685")</f>
        <v/>
      </c>
      <c r="L1824" t="inlineStr">
        <is>
          <t>2025-08-01 18:39:31.185 IST</t>
        </is>
      </c>
      <c r="M1824" t="inlineStr">
        <is>
          <t>Soundariya B</t>
        </is>
      </c>
      <c r="N1824" t="inlineStr">
        <is>
          <t>Yes</t>
        </is>
      </c>
      <c r="O1824" t="inlineStr">
        <is>
          <t>Yes</t>
        </is>
      </c>
      <c r="P1824" t="inlineStr">
        <is>
          <t>Soundariya B</t>
        </is>
      </c>
      <c r="Q1824" t="inlineStr">
        <is>
          <t>Neutral</t>
        </is>
      </c>
    </row>
    <row r="1825">
      <c r="A1825" t="inlineStr">
        <is>
          <t>hitesh.k</t>
        </is>
      </c>
      <c r="B1825" t="inlineStr">
        <is>
          <t>Hitesh Kandpal</t>
        </is>
      </c>
      <c r="C1825" t="inlineStr">
        <is>
          <t>hitesh.k@osmosys.co</t>
        </is>
      </c>
      <c r="D1825" t="inlineStr">
        <is>
          <t>incident-reporter</t>
        </is>
      </c>
      <c r="E1825">
        <f>HYPERLINK("http://gitlab.osmosys.co/incident-reporter/incident-reporter-angular-portal", "OQSHA Portal")</f>
        <v/>
      </c>
      <c r="F1825">
        <f>HYPERLINK("http://gitlab.osmosys.co/incident-reporter/incident-reporter-angular-portal/-/merge_requests/3675", "fix: render standalone checks for library")</f>
        <v/>
      </c>
      <c r="G1825" t="inlineStr">
        <is>
          <t>fix/library-standalone-checks</t>
        </is>
      </c>
      <c r="H1825" t="inlineStr">
        <is>
          <t>sprint-19</t>
        </is>
      </c>
      <c r="I1825" t="inlineStr">
        <is>
          <t>merged</t>
        </is>
      </c>
      <c r="J1825" t="inlineStr">
        <is>
          <t>a0d3b0051909a1257d02ef552f83b4f12eaa37f6</t>
        </is>
      </c>
      <c r="K1825">
        <f>HYPERLINK("http://gitlab.osmosys.co/incident-reporter/incident-reporter-angular-portal/-/merge_requests/3675#note_245944", "This is just a simple ternary operator used in only two places. There won't be any case where we would need to change it in the future.
Also, if I follow the approach you provided, our whole page will get stuck because the ngModel is inside an \*ngFor. When you bind ngModel to a function, that function gets called on every change detection cycle, which would freeze the page. With the current approach it doesn’t have to re-execute external code and it doesn’t trigger re-rendering issues.
Also please provide the resource from where you got this code, i don't think this is a correct approach.")</f>
        <v/>
      </c>
      <c r="L1825" t="inlineStr">
        <is>
          <t>2025-08-02 03:18:18.127 IST</t>
        </is>
      </c>
      <c r="M1825" t="inlineStr">
        <is>
          <t>Hitesh Kandpal</t>
        </is>
      </c>
      <c r="N1825" t="inlineStr">
        <is>
          <t>No</t>
        </is>
      </c>
      <c r="O1825" t="inlineStr">
        <is>
          <t>Yes</t>
        </is>
      </c>
      <c r="P1825" t="inlineStr">
        <is>
          <t>Soundariya B</t>
        </is>
      </c>
      <c r="Q1825" t="inlineStr">
        <is>
          <t>Neutral</t>
        </is>
      </c>
    </row>
    <row r="1826">
      <c r="A1826" t="inlineStr">
        <is>
          <t>hitesh.k</t>
        </is>
      </c>
      <c r="B1826" t="inlineStr">
        <is>
          <t>Hitesh Kandpal</t>
        </is>
      </c>
      <c r="C1826" t="inlineStr">
        <is>
          <t>hitesh.k@osmosys.co</t>
        </is>
      </c>
      <c r="D1826" t="inlineStr">
        <is>
          <t>incident-reporter</t>
        </is>
      </c>
      <c r="E1826">
        <f>HYPERLINK("http://gitlab.osmosys.co/incident-reporter/incident-reporter-angular-portal", "OQSHA Portal")</f>
        <v/>
      </c>
      <c r="F1826">
        <f>HYPERLINK("http://gitlab.osmosys.co/incident-reporter/incident-reporter-angular-portal/-/merge_requests/3675", "fix: render standalone checks for library")</f>
        <v/>
      </c>
      <c r="G1826" t="inlineStr">
        <is>
          <t>fix/library-standalone-checks</t>
        </is>
      </c>
      <c r="H1826" t="inlineStr">
        <is>
          <t>sprint-19</t>
        </is>
      </c>
      <c r="I1826" t="inlineStr">
        <is>
          <t>merged</t>
        </is>
      </c>
      <c r="J1826" t="inlineStr">
        <is>
          <t>a0d3b0051909a1257d02ef552f83b4f12eaa37f6</t>
        </is>
      </c>
      <c r="K1826">
        <f>HYPERLINK("http://gitlab.osmosys.co/incident-reporter/incident-reporter-angular-portal/-/merge_requests/3675#note_245958", "This is the correct approach we need to check with Raj otherwise you all are doing the same thing but for now we can ignore this as per deadline now because till not its not fixed with provided approach, it cause either issue with html and approach we are using in that so that issues will cause which Hitesh mentioned")</f>
        <v/>
      </c>
      <c r="L1826" t="inlineStr">
        <is>
          <t>2025-08-02 03:36:17.232 IST</t>
        </is>
      </c>
      <c r="M1826" t="inlineStr">
        <is>
          <t>Soundariya B</t>
        </is>
      </c>
      <c r="N1826" t="inlineStr">
        <is>
          <t>Yes</t>
        </is>
      </c>
      <c r="O1826" t="inlineStr">
        <is>
          <t>Yes</t>
        </is>
      </c>
      <c r="P1826" t="inlineStr">
        <is>
          <t>Soundariya B</t>
        </is>
      </c>
      <c r="Q1826" t="inlineStr">
        <is>
          <t>Neutral</t>
        </is>
      </c>
    </row>
    <row r="1827">
      <c r="A1827" t="inlineStr">
        <is>
          <t>hitesh.k</t>
        </is>
      </c>
      <c r="B1827" t="inlineStr">
        <is>
          <t>Hitesh Kandpal</t>
        </is>
      </c>
      <c r="C1827" t="inlineStr">
        <is>
          <t>hitesh.k@osmosys.co</t>
        </is>
      </c>
      <c r="D1827" t="inlineStr">
        <is>
          <t>incident-reporter</t>
        </is>
      </c>
      <c r="E1827">
        <f>HYPERLINK("http://gitlab.osmosys.co/incident-reporter/incident-reporter-angular-portal", "OQSHA Portal")</f>
        <v/>
      </c>
      <c r="F1827">
        <f>HYPERLINK("http://gitlab.osmosys.co/incident-reporter/incident-reporter-angular-portal/-/merge_requests/3675", "fix: render standalone checks for library")</f>
        <v/>
      </c>
      <c r="G1827" t="inlineStr">
        <is>
          <t>fix/library-standalone-checks</t>
        </is>
      </c>
      <c r="H1827" t="inlineStr">
        <is>
          <t>sprint-19</t>
        </is>
      </c>
      <c r="I1827" t="inlineStr">
        <is>
          <t>merged</t>
        </is>
      </c>
      <c r="J1827" t="inlineStr">
        <is>
          <t>c1928aca50aea9221ded7094bf64b58fdf7cbb4e</t>
        </is>
      </c>
      <c r="K1827">
        <f>HYPERLINK("http://gitlab.osmosys.co/incident-reporter/incident-reporter-angular-portal/-/merge_requests/3675#note_245142", "Avoid to use this please")</f>
        <v/>
      </c>
      <c r="L1827" t="inlineStr">
        <is>
          <t>2025-07-31 21:14:48.613 IST</t>
        </is>
      </c>
      <c r="M1827" t="inlineStr">
        <is>
          <t>Soundariya B</t>
        </is>
      </c>
      <c r="N1827" t="inlineStr">
        <is>
          <t>Yes</t>
        </is>
      </c>
      <c r="O1827" t="inlineStr">
        <is>
          <t>Yes</t>
        </is>
      </c>
      <c r="P1827" t="inlineStr">
        <is>
          <t>Soundariya B</t>
        </is>
      </c>
      <c r="Q1827" t="inlineStr">
        <is>
          <t>Bad</t>
        </is>
      </c>
    </row>
    <row r="1828">
      <c r="A1828" t="inlineStr">
        <is>
          <t>hitesh.k</t>
        </is>
      </c>
      <c r="B1828" t="inlineStr">
        <is>
          <t>Hitesh Kandpal</t>
        </is>
      </c>
      <c r="C1828" t="inlineStr">
        <is>
          <t>hitesh.k@osmosys.co</t>
        </is>
      </c>
      <c r="D1828" t="inlineStr">
        <is>
          <t>incident-reporter</t>
        </is>
      </c>
      <c r="E1828">
        <f>HYPERLINK("http://gitlab.osmosys.co/incident-reporter/incident-reporter-angular-portal", "OQSHA Portal")</f>
        <v/>
      </c>
      <c r="F1828">
        <f>HYPERLINK("http://gitlab.osmosys.co/incident-reporter/incident-reporter-angular-portal/-/merge_requests/3675", "fix: render standalone checks for library")</f>
        <v/>
      </c>
      <c r="G1828" t="inlineStr">
        <is>
          <t>fix/library-standalone-checks</t>
        </is>
      </c>
      <c r="H1828" t="inlineStr">
        <is>
          <t>sprint-19</t>
        </is>
      </c>
      <c r="I1828" t="inlineStr">
        <is>
          <t>merged</t>
        </is>
      </c>
      <c r="J1828" t="inlineStr">
        <is>
          <t>c1928aca50aea9221ded7094bf64b58fdf7cbb4e</t>
        </is>
      </c>
      <c r="K1828">
        <f>HYPERLINK("http://gitlab.osmosys.co/incident-reporter/incident-reporter-angular-portal/-/merge_requests/3675#note_245152", "can't avoid, we need to use this to bind standalone checks properly, we can't create a separate variable for each check")</f>
        <v/>
      </c>
      <c r="L1828" t="inlineStr">
        <is>
          <t>2025-07-31 22:17:10.305 IST</t>
        </is>
      </c>
      <c r="M1828" t="inlineStr">
        <is>
          <t>Hitesh Kandpal</t>
        </is>
      </c>
      <c r="N1828" t="inlineStr">
        <is>
          <t>No</t>
        </is>
      </c>
      <c r="O1828" t="inlineStr">
        <is>
          <t>Yes</t>
        </is>
      </c>
      <c r="P1828" t="inlineStr">
        <is>
          <t>Soundariya B</t>
        </is>
      </c>
      <c r="Q1828" t="inlineStr">
        <is>
          <t>Bad</t>
        </is>
      </c>
    </row>
    <row r="1829">
      <c r="A1829" t="inlineStr">
        <is>
          <t>hitesh.k</t>
        </is>
      </c>
      <c r="B1829" t="inlineStr">
        <is>
          <t>Hitesh Kandpal</t>
        </is>
      </c>
      <c r="C1829" t="inlineStr">
        <is>
          <t>hitesh.k@osmosys.co</t>
        </is>
      </c>
      <c r="D1829" t="inlineStr">
        <is>
          <t>incident-reporter</t>
        </is>
      </c>
      <c r="E1829">
        <f>HYPERLINK("http://gitlab.osmosys.co/incident-reporter/incident-reporter-angular-portal", "OQSHA Portal")</f>
        <v/>
      </c>
      <c r="F1829">
        <f>HYPERLINK("http://gitlab.osmosys.co/incident-reporter/incident-reporter-angular-portal/-/merge_requests/3675", "fix: render standalone checks for library")</f>
        <v/>
      </c>
      <c r="G1829" t="inlineStr">
        <is>
          <t>fix/library-standalone-checks</t>
        </is>
      </c>
      <c r="H1829" t="inlineStr">
        <is>
          <t>sprint-19</t>
        </is>
      </c>
      <c r="I1829" t="inlineStr">
        <is>
          <t>merged</t>
        </is>
      </c>
      <c r="J1829" t="inlineStr">
        <is>
          <t>c1928aca50aea9221ded7094bf64b58fdf7cbb4e</t>
        </is>
      </c>
      <c r="K1829">
        <f>HYPERLINK("http://gitlab.osmosys.co/incident-reporter/incident-reporter-angular-portal/-/merge_requests/3675#note_245721", "Ok for now - we need to address this to fix in separate task")</f>
        <v/>
      </c>
      <c r="L1829" t="inlineStr">
        <is>
          <t>2025-08-01 18:40:03.424 IST</t>
        </is>
      </c>
      <c r="M1829" t="inlineStr">
        <is>
          <t>Soundariya B</t>
        </is>
      </c>
      <c r="N1829" t="inlineStr">
        <is>
          <t>Yes</t>
        </is>
      </c>
      <c r="O1829" t="inlineStr">
        <is>
          <t>Yes</t>
        </is>
      </c>
      <c r="P1829" t="inlineStr">
        <is>
          <t>Soundariya B</t>
        </is>
      </c>
      <c r="Q1829" t="inlineStr">
        <is>
          <t>Bad</t>
        </is>
      </c>
    </row>
    <row r="1830">
      <c r="A1830" t="inlineStr">
        <is>
          <t>hitesh.k</t>
        </is>
      </c>
      <c r="B1830" t="inlineStr">
        <is>
          <t>Hitesh Kandpal</t>
        </is>
      </c>
      <c r="C1830" t="inlineStr">
        <is>
          <t>hitesh.k@osmosys.co</t>
        </is>
      </c>
      <c r="D1830" t="inlineStr">
        <is>
          <t>incident-reporter</t>
        </is>
      </c>
      <c r="E1830">
        <f>HYPERLINK("http://gitlab.osmosys.co/incident-reporter/incident-reporter-angular-portal", "OQSHA Portal")</f>
        <v/>
      </c>
      <c r="F1830">
        <f>HYPERLINK("http://gitlab.osmosys.co/incident-reporter/incident-reporter-angular-portal/-/merge_requests/3675", "fix: render standalone checks for library")</f>
        <v/>
      </c>
      <c r="G1830" t="inlineStr">
        <is>
          <t>fix/library-standalone-checks</t>
        </is>
      </c>
      <c r="H1830" t="inlineStr">
        <is>
          <t>sprint-19</t>
        </is>
      </c>
      <c r="I1830" t="inlineStr">
        <is>
          <t>merged</t>
        </is>
      </c>
      <c r="J1830" t="inlineStr">
        <is>
          <t>b935dfe47067619fdc471ffa7c6c1b4278a4db74</t>
        </is>
      </c>
      <c r="K1830">
        <f>HYPERLINK("http://gitlab.osmosys.co/incident-reporter/incident-reporter-angular-portal/-/merge_requests/3675#note_245143", "Ref this thread link and do the same as per Library module - http://gitlab.osmosys.co/incident-reporter/incident-reporter-angular-portal/-/merge_requests/3673#note_245132")</f>
        <v/>
      </c>
      <c r="L1830" t="inlineStr">
        <is>
          <t>2025-07-31 21:14:48.668 IST</t>
        </is>
      </c>
      <c r="M1830" t="inlineStr">
        <is>
          <t>Soundariya B</t>
        </is>
      </c>
      <c r="N1830" t="inlineStr">
        <is>
          <t>Yes</t>
        </is>
      </c>
      <c r="O1830" t="inlineStr">
        <is>
          <t>Yes</t>
        </is>
      </c>
      <c r="P1830" t="inlineStr">
        <is>
          <t>Soundariya B</t>
        </is>
      </c>
      <c r="Q1830" t="inlineStr">
        <is>
          <t>Bad</t>
        </is>
      </c>
    </row>
    <row r="1831">
      <c r="A1831" t="inlineStr">
        <is>
          <t>hitesh.k</t>
        </is>
      </c>
      <c r="B1831" t="inlineStr">
        <is>
          <t>Hitesh Kandpal</t>
        </is>
      </c>
      <c r="C1831" t="inlineStr">
        <is>
          <t>hitesh.k@osmosys.co</t>
        </is>
      </c>
      <c r="D1831" t="inlineStr">
        <is>
          <t>incident-reporter</t>
        </is>
      </c>
      <c r="E1831">
        <f>HYPERLINK("http://gitlab.osmosys.co/incident-reporter/incident-reporter-angular-portal", "OQSHA Portal")</f>
        <v/>
      </c>
      <c r="F1831">
        <f>HYPERLINK("http://gitlab.osmosys.co/incident-reporter/incident-reporter-angular-portal/-/merge_requests/3675", "fix: render standalone checks for library")</f>
        <v/>
      </c>
      <c r="G1831" t="inlineStr">
        <is>
          <t>fix/library-standalone-checks</t>
        </is>
      </c>
      <c r="H1831" t="inlineStr">
        <is>
          <t>sprint-19</t>
        </is>
      </c>
      <c r="I1831" t="inlineStr">
        <is>
          <t>merged</t>
        </is>
      </c>
      <c r="J1831" t="inlineStr">
        <is>
          <t>b935dfe47067619fdc471ffa7c6c1b4278a4db74</t>
        </is>
      </c>
      <c r="K1831">
        <f>HYPERLINK("http://gitlab.osmosys.co/incident-reporter/incident-reporter-angular-portal/-/merge_requests/3675#note_245334", "done")</f>
        <v/>
      </c>
      <c r="L1831" t="inlineStr">
        <is>
          <t>2025-08-01 13:30:11.879 IST</t>
        </is>
      </c>
      <c r="M1831" t="inlineStr">
        <is>
          <t>Hitesh Kandpal</t>
        </is>
      </c>
      <c r="N1831" t="inlineStr">
        <is>
          <t>No</t>
        </is>
      </c>
      <c r="O1831" t="inlineStr">
        <is>
          <t>Yes</t>
        </is>
      </c>
      <c r="P1831" t="inlineStr">
        <is>
          <t>Soundariya B</t>
        </is>
      </c>
      <c r="Q1831" t="inlineStr">
        <is>
          <t>Bad</t>
        </is>
      </c>
    </row>
    <row r="1832">
      <c r="A1832" t="inlineStr">
        <is>
          <t>hitesh.k</t>
        </is>
      </c>
      <c r="B1832" t="inlineStr">
        <is>
          <t>Hitesh Kandpal</t>
        </is>
      </c>
      <c r="C1832" t="inlineStr">
        <is>
          <t>hitesh.k@osmosys.co</t>
        </is>
      </c>
      <c r="D1832" t="inlineStr">
        <is>
          <t>incident-reporter</t>
        </is>
      </c>
      <c r="E1832">
        <f>HYPERLINK("http://gitlab.osmosys.co/incident-reporter/incident-reporter-angular-portal", "OQSHA Portal")</f>
        <v/>
      </c>
      <c r="F1832">
        <f>HYPERLINK("http://gitlab.osmosys.co/incident-reporter/incident-reporter-angular-portal/-/merge_requests/3675", "fix: render standalone checks for library")</f>
        <v/>
      </c>
      <c r="G1832" t="inlineStr">
        <is>
          <t>fix/library-standalone-checks</t>
        </is>
      </c>
      <c r="H1832" t="inlineStr">
        <is>
          <t>sprint-19</t>
        </is>
      </c>
      <c r="I1832" t="inlineStr">
        <is>
          <t>merged</t>
        </is>
      </c>
      <c r="J1832" t="inlineStr">
        <is>
          <t>2ef896c3f2279ad451c5243af7c151e3510c1d1e</t>
        </is>
      </c>
      <c r="K1832">
        <f>HYPERLINK("http://gitlab.osmosys.co/incident-reporter/incident-reporter-angular-portal/-/merge_requests/3675#note_245144", "Revert this change - this is already done by Sayan in the other which is already merged - https://gitlab.osmosys.co/incident-reporter/incident-reporter-angular-portal/-/merge_requests/3669")</f>
        <v/>
      </c>
      <c r="L1832" t="inlineStr">
        <is>
          <t>2025-07-31 21:14:48.746 IST</t>
        </is>
      </c>
      <c r="M1832" t="inlineStr">
        <is>
          <t>Soundariya B</t>
        </is>
      </c>
      <c r="N1832" t="inlineStr">
        <is>
          <t>Yes</t>
        </is>
      </c>
      <c r="O1832" t="inlineStr">
        <is>
          <t>Yes</t>
        </is>
      </c>
      <c r="P1832" t="inlineStr">
        <is>
          <t>Soundariya B</t>
        </is>
      </c>
      <c r="Q1832" t="inlineStr">
        <is>
          <t>Neutral</t>
        </is>
      </c>
    </row>
    <row r="1833">
      <c r="A1833" t="inlineStr">
        <is>
          <t>hitesh.k</t>
        </is>
      </c>
      <c r="B1833" t="inlineStr">
        <is>
          <t>Hitesh Kandpal</t>
        </is>
      </c>
      <c r="C1833" t="inlineStr">
        <is>
          <t>hitesh.k@osmosys.co</t>
        </is>
      </c>
      <c r="D1833" t="inlineStr">
        <is>
          <t>incident-reporter</t>
        </is>
      </c>
      <c r="E1833">
        <f>HYPERLINK("http://gitlab.osmosys.co/incident-reporter/incident-reporter-angular-portal", "OQSHA Portal")</f>
        <v/>
      </c>
      <c r="F1833">
        <f>HYPERLINK("http://gitlab.osmosys.co/incident-reporter/incident-reporter-angular-portal/-/merge_requests/3675", "fix: render standalone checks for library")</f>
        <v/>
      </c>
      <c r="G1833" t="inlineStr">
        <is>
          <t>fix/library-standalone-checks</t>
        </is>
      </c>
      <c r="H1833" t="inlineStr">
        <is>
          <t>sprint-19</t>
        </is>
      </c>
      <c r="I1833" t="inlineStr">
        <is>
          <t>merged</t>
        </is>
      </c>
      <c r="J1833" t="inlineStr">
        <is>
          <t>2ef896c3f2279ad451c5243af7c151e3510c1d1e</t>
        </is>
      </c>
      <c r="K1833">
        <f>HYPERLINK("http://gitlab.osmosys.co/incident-reporter/incident-reporter-angular-portal/-/merge_requests/3675#note_245327", "no need of this, if i revert and my pr gets merged changed will be lost, this kind of things won't affect any flow, raj have already confirmed this in past multiple times to other devs as well")</f>
        <v/>
      </c>
      <c r="L1833" t="inlineStr">
        <is>
          <t>2025-08-01 13:21:55.072 IST</t>
        </is>
      </c>
      <c r="M1833" t="inlineStr">
        <is>
          <t>Hitesh Kandpal</t>
        </is>
      </c>
      <c r="N1833" t="inlineStr">
        <is>
          <t>No</t>
        </is>
      </c>
      <c r="O1833" t="inlineStr">
        <is>
          <t>Yes</t>
        </is>
      </c>
      <c r="P1833" t="inlineStr">
        <is>
          <t>Soundariya B</t>
        </is>
      </c>
      <c r="Q1833" t="inlineStr">
        <is>
          <t>Neutral</t>
        </is>
      </c>
    </row>
    <row r="1834">
      <c r="A1834" t="inlineStr">
        <is>
          <t>hitesh.k</t>
        </is>
      </c>
      <c r="B1834" t="inlineStr">
        <is>
          <t>Hitesh Kandpal</t>
        </is>
      </c>
      <c r="C1834" t="inlineStr">
        <is>
          <t>hitesh.k@osmosys.co</t>
        </is>
      </c>
      <c r="D1834" t="inlineStr">
        <is>
          <t>incident-reporter</t>
        </is>
      </c>
      <c r="E1834">
        <f>HYPERLINK("http://gitlab.osmosys.co/incident-reporter/incident-reporter-angular-portal", "OQSHA Portal")</f>
        <v/>
      </c>
      <c r="F1834">
        <f>HYPERLINK("http://gitlab.osmosys.co/incident-reporter/incident-reporter-angular-portal/-/merge_requests/3675", "fix: render standalone checks for library")</f>
        <v/>
      </c>
      <c r="G1834" t="inlineStr">
        <is>
          <t>fix/library-standalone-checks</t>
        </is>
      </c>
      <c r="H1834" t="inlineStr">
        <is>
          <t>sprint-19</t>
        </is>
      </c>
      <c r="I1834" t="inlineStr">
        <is>
          <t>merged</t>
        </is>
      </c>
      <c r="J1834" t="inlineStr">
        <is>
          <t>2ef896c3f2279ad451c5243af7c151e3510c1d1e</t>
        </is>
      </c>
      <c r="K1834">
        <f>HYPERLINK("http://gitlab.osmosys.co/incident-reporter/incident-reporter-angular-portal/-/merge_requests/3675#note_245722", "Ok but make sure these changes are the same with attached PR in thread")</f>
        <v/>
      </c>
      <c r="L1834" t="inlineStr">
        <is>
          <t>2025-08-01 18:40:31.538 IST</t>
        </is>
      </c>
      <c r="M1834" t="inlineStr">
        <is>
          <t>Soundariya B</t>
        </is>
      </c>
      <c r="N1834" t="inlineStr">
        <is>
          <t>Yes</t>
        </is>
      </c>
      <c r="O1834" t="inlineStr">
        <is>
          <t>Yes</t>
        </is>
      </c>
      <c r="P1834" t="inlineStr">
        <is>
          <t>Soundariya B</t>
        </is>
      </c>
      <c r="Q1834" t="inlineStr">
        <is>
          <t>Neutral</t>
        </is>
      </c>
    </row>
    <row r="1835">
      <c r="A1835" t="inlineStr">
        <is>
          <t>hitesh.k</t>
        </is>
      </c>
      <c r="B1835" t="inlineStr">
        <is>
          <t>Hitesh Kandpal</t>
        </is>
      </c>
      <c r="C1835" t="inlineStr">
        <is>
          <t>hitesh.k@osmosys.co</t>
        </is>
      </c>
      <c r="D1835" t="inlineStr">
        <is>
          <t>incident-reporter</t>
        </is>
      </c>
      <c r="E1835">
        <f>HYPERLINK("http://gitlab.osmosys.co/incident-reporter/incident-reporter-angular-portal", "OQSHA Portal")</f>
        <v/>
      </c>
      <c r="F1835">
        <f>HYPERLINK("http://gitlab.osmosys.co/incident-reporter/incident-reporter-angular-portal/-/merge_requests/3675", "fix: render standalone checks for library")</f>
        <v/>
      </c>
      <c r="G1835" t="inlineStr">
        <is>
          <t>fix/library-standalone-checks</t>
        </is>
      </c>
      <c r="H1835" t="inlineStr">
        <is>
          <t>sprint-19</t>
        </is>
      </c>
      <c r="I1835" t="inlineStr">
        <is>
          <t>merged</t>
        </is>
      </c>
      <c r="J1835" t="inlineStr">
        <is>
          <t>2ef896c3f2279ad451c5243af7c151e3510c1d1e</t>
        </is>
      </c>
      <c r="K1835">
        <f>HYPERLINK("http://gitlab.osmosys.co/incident-reporter/incident-reporter-angular-portal/-/merge_requests/3675#note_245945", "yes they are same")</f>
        <v/>
      </c>
      <c r="L1835" t="inlineStr">
        <is>
          <t>2025-08-02 03:18:30.351 IST</t>
        </is>
      </c>
      <c r="M1835" t="inlineStr">
        <is>
          <t>Hitesh Kandpal</t>
        </is>
      </c>
      <c r="N1835" t="inlineStr">
        <is>
          <t>No</t>
        </is>
      </c>
      <c r="O1835" t="inlineStr">
        <is>
          <t>Yes</t>
        </is>
      </c>
      <c r="P1835" t="inlineStr">
        <is>
          <t>Soundariya B</t>
        </is>
      </c>
      <c r="Q1835" t="inlineStr">
        <is>
          <t>Neutral</t>
        </is>
      </c>
    </row>
    <row r="1836">
      <c r="A1836" t="inlineStr">
        <is>
          <t>hitesh.k</t>
        </is>
      </c>
      <c r="B1836" t="inlineStr">
        <is>
          <t>Hitesh Kandpal</t>
        </is>
      </c>
      <c r="C1836" t="inlineStr">
        <is>
          <t>hitesh.k@osmosys.co</t>
        </is>
      </c>
      <c r="D1836" t="inlineStr">
        <is>
          <t>incident-reporter</t>
        </is>
      </c>
      <c r="E1836">
        <f>HYPERLINK("http://gitlab.osmosys.co/incident-reporter/incident-reporter-angular-portal", "OQSHA Portal")</f>
        <v/>
      </c>
      <c r="F1836">
        <f>HYPERLINK("http://gitlab.osmosys.co/incident-reporter/incident-reporter-angular-portal/-/merge_requests/3675", "fix: render standalone checks for library")</f>
        <v/>
      </c>
      <c r="G1836" t="inlineStr">
        <is>
          <t>fix/library-standalone-checks</t>
        </is>
      </c>
      <c r="H1836" t="inlineStr">
        <is>
          <t>sprint-19</t>
        </is>
      </c>
      <c r="I1836" t="inlineStr">
        <is>
          <t>merged</t>
        </is>
      </c>
      <c r="J1836" t="inlineStr">
        <is>
          <t>e9f8eb2dd946f7cd6e66d9bbdc324775d2f408c3</t>
        </is>
      </c>
      <c r="K1836">
        <f>HYPERLINK("http://gitlab.osmosys.co/incident-reporter/incident-reporter-angular-portal/-/merge_requests/3675#note_245145", "Revert this change - this is already done by Sayan in the other which is already merged - https://gitlab.osmosys.co/incident-reporter/incident-reporter-angular-portal/-/merge_requests/3669")</f>
        <v/>
      </c>
      <c r="L1836" t="inlineStr">
        <is>
          <t>2025-07-31 21:14:48.831 IST</t>
        </is>
      </c>
      <c r="M1836" t="inlineStr">
        <is>
          <t>Soundariya B</t>
        </is>
      </c>
      <c r="N1836" t="inlineStr">
        <is>
          <t>Yes</t>
        </is>
      </c>
      <c r="O1836" t="inlineStr">
        <is>
          <t>Yes</t>
        </is>
      </c>
      <c r="P1836" t="inlineStr">
        <is>
          <t>Soundariya B</t>
        </is>
      </c>
      <c r="Q1836" t="inlineStr">
        <is>
          <t>Neutral</t>
        </is>
      </c>
    </row>
    <row r="1837">
      <c r="A1837" t="inlineStr">
        <is>
          <t>hitesh.k</t>
        </is>
      </c>
      <c r="B1837" t="inlineStr">
        <is>
          <t>Hitesh Kandpal</t>
        </is>
      </c>
      <c r="C1837" t="inlineStr">
        <is>
          <t>hitesh.k@osmosys.co</t>
        </is>
      </c>
      <c r="D1837" t="inlineStr">
        <is>
          <t>incident-reporter</t>
        </is>
      </c>
      <c r="E1837">
        <f>HYPERLINK("http://gitlab.osmosys.co/incident-reporter/incident-reporter-angular-portal", "OQSHA Portal")</f>
        <v/>
      </c>
      <c r="F1837">
        <f>HYPERLINK("http://gitlab.osmosys.co/incident-reporter/incident-reporter-angular-portal/-/merge_requests/3675", "fix: render standalone checks for library")</f>
        <v/>
      </c>
      <c r="G1837" t="inlineStr">
        <is>
          <t>fix/library-standalone-checks</t>
        </is>
      </c>
      <c r="H1837" t="inlineStr">
        <is>
          <t>sprint-19</t>
        </is>
      </c>
      <c r="I1837" t="inlineStr">
        <is>
          <t>merged</t>
        </is>
      </c>
      <c r="J1837" t="inlineStr">
        <is>
          <t>e9f8eb2dd946f7cd6e66d9bbdc324775d2f408c3</t>
        </is>
      </c>
      <c r="K1837">
        <f>HYPERLINK("http://gitlab.osmosys.co/incident-reporter/incident-reporter-angular-portal/-/merge_requests/3675#note_245326", "no need of this, if i revert and my pr gets merged changed will be lost, this kind of things won't affect any flow, raj have already confirmed this in past multiple times to other devs as well")</f>
        <v/>
      </c>
      <c r="L1837" t="inlineStr">
        <is>
          <t>2025-08-01 13:21:48.768 IST</t>
        </is>
      </c>
      <c r="M1837" t="inlineStr">
        <is>
          <t>Hitesh Kandpal</t>
        </is>
      </c>
      <c r="N1837" t="inlineStr">
        <is>
          <t>No</t>
        </is>
      </c>
      <c r="O1837" t="inlineStr">
        <is>
          <t>Yes</t>
        </is>
      </c>
      <c r="P1837" t="inlineStr">
        <is>
          <t>Soundariya B</t>
        </is>
      </c>
      <c r="Q1837" t="inlineStr">
        <is>
          <t>Neutral</t>
        </is>
      </c>
    </row>
    <row r="1838">
      <c r="A1838" t="inlineStr">
        <is>
          <t>hitesh.k</t>
        </is>
      </c>
      <c r="B1838" t="inlineStr">
        <is>
          <t>Hitesh Kandpal</t>
        </is>
      </c>
      <c r="C1838" t="inlineStr">
        <is>
          <t>hitesh.k@osmosys.co</t>
        </is>
      </c>
      <c r="D1838" t="inlineStr">
        <is>
          <t>incident-reporter</t>
        </is>
      </c>
      <c r="E1838">
        <f>HYPERLINK("http://gitlab.osmosys.co/incident-reporter/incident-reporter-angular-portal", "OQSHA Portal")</f>
        <v/>
      </c>
      <c r="F1838">
        <f>HYPERLINK("http://gitlab.osmosys.co/incident-reporter/incident-reporter-angular-portal/-/merge_requests/3675", "fix: render standalone checks for library")</f>
        <v/>
      </c>
      <c r="G1838" t="inlineStr">
        <is>
          <t>fix/library-standalone-checks</t>
        </is>
      </c>
      <c r="H1838" t="inlineStr">
        <is>
          <t>sprint-19</t>
        </is>
      </c>
      <c r="I1838" t="inlineStr">
        <is>
          <t>merged</t>
        </is>
      </c>
      <c r="J1838" t="inlineStr">
        <is>
          <t>e9f8eb2dd946f7cd6e66d9bbdc324775d2f408c3</t>
        </is>
      </c>
      <c r="K1838">
        <f>HYPERLINK("http://gitlab.osmosys.co/incident-reporter/incident-reporter-angular-portal/-/merge_requests/3675#note_245723", "Ok but make sure these changes are the same with attached PR in thread")</f>
        <v/>
      </c>
      <c r="L1838" t="inlineStr">
        <is>
          <t>2025-08-01 18:40:35.789 IST</t>
        </is>
      </c>
      <c r="M1838" t="inlineStr">
        <is>
          <t>Soundariya B</t>
        </is>
      </c>
      <c r="N1838" t="inlineStr">
        <is>
          <t>Yes</t>
        </is>
      </c>
      <c r="O1838" t="inlineStr">
        <is>
          <t>Yes</t>
        </is>
      </c>
      <c r="P1838" t="inlineStr">
        <is>
          <t>Soundariya B</t>
        </is>
      </c>
      <c r="Q1838" t="inlineStr">
        <is>
          <t>Neutral</t>
        </is>
      </c>
    </row>
    <row r="1839">
      <c r="A1839" t="inlineStr">
        <is>
          <t>hitesh.k</t>
        </is>
      </c>
      <c r="B1839" t="inlineStr">
        <is>
          <t>Hitesh Kandpal</t>
        </is>
      </c>
      <c r="C1839" t="inlineStr">
        <is>
          <t>hitesh.k@osmosys.co</t>
        </is>
      </c>
      <c r="D1839" t="inlineStr">
        <is>
          <t>incident-reporter</t>
        </is>
      </c>
      <c r="E1839">
        <f>HYPERLINK("http://gitlab.osmosys.co/incident-reporter/incident-reporter-angular-portal", "OQSHA Portal")</f>
        <v/>
      </c>
      <c r="F1839">
        <f>HYPERLINK("http://gitlab.osmosys.co/incident-reporter/incident-reporter-angular-portal/-/merge_requests/3675", "fix: render standalone checks for library")</f>
        <v/>
      </c>
      <c r="G1839" t="inlineStr">
        <is>
          <t>fix/library-standalone-checks</t>
        </is>
      </c>
      <c r="H1839" t="inlineStr">
        <is>
          <t>sprint-19</t>
        </is>
      </c>
      <c r="I1839" t="inlineStr">
        <is>
          <t>merged</t>
        </is>
      </c>
      <c r="J1839" t="inlineStr">
        <is>
          <t>e9f8eb2dd946f7cd6e66d9bbdc324775d2f408c3</t>
        </is>
      </c>
      <c r="K1839">
        <f>HYPERLINK("http://gitlab.osmosys.co/incident-reporter/incident-reporter-angular-portal/-/merge_requests/3675#note_245946", "yes they are same")</f>
        <v/>
      </c>
      <c r="L1839" t="inlineStr">
        <is>
          <t>2025-08-02 03:18:34.965 IST</t>
        </is>
      </c>
      <c r="M1839" t="inlineStr">
        <is>
          <t>Hitesh Kandpal</t>
        </is>
      </c>
      <c r="N1839" t="inlineStr">
        <is>
          <t>No</t>
        </is>
      </c>
      <c r="O1839" t="inlineStr">
        <is>
          <t>Yes</t>
        </is>
      </c>
      <c r="P1839" t="inlineStr">
        <is>
          <t>Soundariya B</t>
        </is>
      </c>
      <c r="Q1839" t="inlineStr">
        <is>
          <t>Neutral</t>
        </is>
      </c>
    </row>
    <row r="1840">
      <c r="A1840" t="inlineStr">
        <is>
          <t>hitesh.k</t>
        </is>
      </c>
      <c r="B1840" t="inlineStr">
        <is>
          <t>Hitesh Kandpal</t>
        </is>
      </c>
      <c r="C1840" t="inlineStr">
        <is>
          <t>hitesh.k@osmosys.co</t>
        </is>
      </c>
      <c r="D1840" t="inlineStr">
        <is>
          <t>incident-reporter</t>
        </is>
      </c>
      <c r="E1840">
        <f>HYPERLINK("http://gitlab.osmosys.co/incident-reporter/incident-reporter-angular-portal", "OQSHA Portal")</f>
        <v/>
      </c>
      <c r="F1840">
        <f>HYPERLINK("http://gitlab.osmosys.co/incident-reporter/incident-reporter-angular-portal/-/merge_requests/3673", "fix: render standalone checks for MOC")</f>
        <v/>
      </c>
      <c r="G1840" t="inlineStr">
        <is>
          <t>fix/update-standalone-checks</t>
        </is>
      </c>
      <c r="H1840" t="inlineStr">
        <is>
          <t>sprint-19</t>
        </is>
      </c>
      <c r="I1840" t="inlineStr">
        <is>
          <t>merged</t>
        </is>
      </c>
      <c r="J1840" t="inlineStr">
        <is>
          <t>b1e0f6fce581991577276dfcbc6d3ed3890e09b5</t>
        </is>
      </c>
      <c r="K1840">
        <f>HYPERLINK("http://gitlab.osmosys.co/incident-reporter/incident-reporter-angular-portal/-/merge_requests/3673#note_245127", "![image](/uploads/54ac7cde46c4801986ff642ab882ef7a/image.png)")</f>
        <v/>
      </c>
      <c r="L1840" t="inlineStr">
        <is>
          <t>2025-07-31 20:45:48.470 IST</t>
        </is>
      </c>
      <c r="M1840" t="inlineStr">
        <is>
          <t>Soundariya B</t>
        </is>
      </c>
      <c r="N1840" t="inlineStr">
        <is>
          <t>Yes</t>
        </is>
      </c>
      <c r="O1840" t="inlineStr">
        <is>
          <t>Yes</t>
        </is>
      </c>
      <c r="P1840" t="inlineStr">
        <is>
          <t>Soundariya B</t>
        </is>
      </c>
      <c r="Q1840" t="inlineStr">
        <is>
          <t>Bad</t>
        </is>
      </c>
    </row>
    <row r="1841">
      <c r="A1841" t="inlineStr">
        <is>
          <t>hitesh.k</t>
        </is>
      </c>
      <c r="B1841" t="inlineStr">
        <is>
          <t>Hitesh Kandpal</t>
        </is>
      </c>
      <c r="C1841" t="inlineStr">
        <is>
          <t>hitesh.k@osmosys.co</t>
        </is>
      </c>
      <c r="D1841" t="inlineStr">
        <is>
          <t>incident-reporter</t>
        </is>
      </c>
      <c r="E1841">
        <f>HYPERLINK("http://gitlab.osmosys.co/incident-reporter/incident-reporter-angular-portal", "OQSHA Portal")</f>
        <v/>
      </c>
      <c r="F1841">
        <f>HYPERLINK("http://gitlab.osmosys.co/incident-reporter/incident-reporter-angular-portal/-/merge_requests/3673", "fix: render standalone checks for MOC")</f>
        <v/>
      </c>
      <c r="G1841" t="inlineStr">
        <is>
          <t>fix/update-standalone-checks</t>
        </is>
      </c>
      <c r="H1841" t="inlineStr">
        <is>
          <t>sprint-19</t>
        </is>
      </c>
      <c r="I1841" t="inlineStr">
        <is>
          <t>merged</t>
        </is>
      </c>
      <c r="J1841" t="inlineStr">
        <is>
          <t>b1e0f6fce581991577276dfcbc6d3ed3890e09b5</t>
        </is>
      </c>
      <c r="K1841">
        <f>HYPERLINK("http://gitlab.osmosys.co/incident-reporter/incident-reporter-angular-portal/-/merge_requests/3673#note_245155", "two comments are not valid, can't make dynamic radio button horizontal since it can be a lot and text can be very big, same approach is followed everywhere for dynamic radio button
that's a time check, calendar can't come for that")</f>
        <v/>
      </c>
      <c r="L1841" t="inlineStr">
        <is>
          <t>2025-07-31 22:21:58.590 IST</t>
        </is>
      </c>
      <c r="M1841" t="inlineStr">
        <is>
          <t>Hitesh Kandpal</t>
        </is>
      </c>
      <c r="N1841" t="inlineStr">
        <is>
          <t>No</t>
        </is>
      </c>
      <c r="O1841" t="inlineStr">
        <is>
          <t>Yes</t>
        </is>
      </c>
      <c r="P1841" t="inlineStr">
        <is>
          <t>Soundariya B</t>
        </is>
      </c>
      <c r="Q1841" t="inlineStr">
        <is>
          <t>Bad</t>
        </is>
      </c>
    </row>
    <row r="1842">
      <c r="A1842" t="inlineStr">
        <is>
          <t>hitesh.k</t>
        </is>
      </c>
      <c r="B1842" t="inlineStr">
        <is>
          <t>Hitesh Kandpal</t>
        </is>
      </c>
      <c r="C1842" t="inlineStr">
        <is>
          <t>hitesh.k@osmosys.co</t>
        </is>
      </c>
      <c r="D1842" t="inlineStr">
        <is>
          <t>incident-reporter</t>
        </is>
      </c>
      <c r="E1842">
        <f>HYPERLINK("http://gitlab.osmosys.co/incident-reporter/incident-reporter-angular-portal", "OQSHA Portal")</f>
        <v/>
      </c>
      <c r="F1842">
        <f>HYPERLINK("http://gitlab.osmosys.co/incident-reporter/incident-reporter-angular-portal/-/merge_requests/3673", "fix: render standalone checks for MOC")</f>
        <v/>
      </c>
      <c r="G1842" t="inlineStr">
        <is>
          <t>fix/update-standalone-checks</t>
        </is>
      </c>
      <c r="H1842" t="inlineStr">
        <is>
          <t>sprint-19</t>
        </is>
      </c>
      <c r="I1842" t="inlineStr">
        <is>
          <t>merged</t>
        </is>
      </c>
      <c r="J1842" t="inlineStr">
        <is>
          <t>b1e0f6fce581991577276dfcbc6d3ed3890e09b5</t>
        </is>
      </c>
      <c r="K1842">
        <f>HYPERLINK("http://gitlab.osmosys.co/incident-reporter/incident-reporter-angular-portal/-/merge_requests/3673#note_245318", "fixed that border issue")</f>
        <v/>
      </c>
      <c r="L1842" t="inlineStr">
        <is>
          <t>2025-08-01 13:11:47.787 IST</t>
        </is>
      </c>
      <c r="M1842" t="inlineStr">
        <is>
          <t>Hitesh Kandpal</t>
        </is>
      </c>
      <c r="N1842" t="inlineStr">
        <is>
          <t>No</t>
        </is>
      </c>
      <c r="O1842" t="inlineStr">
        <is>
          <t>Yes</t>
        </is>
      </c>
      <c r="P1842" t="inlineStr">
        <is>
          <t>Soundariya B</t>
        </is>
      </c>
      <c r="Q1842" t="inlineStr">
        <is>
          <t>Bad</t>
        </is>
      </c>
    </row>
    <row r="1843">
      <c r="A1843" t="inlineStr">
        <is>
          <t>hitesh.k</t>
        </is>
      </c>
      <c r="B1843" t="inlineStr">
        <is>
          <t>Hitesh Kandpal</t>
        </is>
      </c>
      <c r="C1843" t="inlineStr">
        <is>
          <t>hitesh.k@osmosys.co</t>
        </is>
      </c>
      <c r="D1843" t="inlineStr">
        <is>
          <t>incident-reporter</t>
        </is>
      </c>
      <c r="E1843">
        <f>HYPERLINK("http://gitlab.osmosys.co/incident-reporter/incident-reporter-angular-portal", "OQSHA Portal")</f>
        <v/>
      </c>
      <c r="F1843">
        <f>HYPERLINK("http://gitlab.osmosys.co/incident-reporter/incident-reporter-angular-portal/-/merge_requests/3673", "fix: render standalone checks for MOC")</f>
        <v/>
      </c>
      <c r="G1843" t="inlineStr">
        <is>
          <t>fix/update-standalone-checks</t>
        </is>
      </c>
      <c r="H1843" t="inlineStr">
        <is>
          <t>sprint-19</t>
        </is>
      </c>
      <c r="I1843" t="inlineStr">
        <is>
          <t>merged</t>
        </is>
      </c>
      <c r="J1843" t="inlineStr">
        <is>
          <t>b1e0f6fce581991577276dfcbc6d3ed3890e09b5</t>
        </is>
      </c>
      <c r="K1843">
        <f>HYPERLINK("http://gitlab.osmosys.co/incident-reporter/incident-reporter-angular-portal/-/merge_requests/3673#note_245690", "Ok update the SS please so that I can verify and resolve this thread")</f>
        <v/>
      </c>
      <c r="L1843" t="inlineStr">
        <is>
          <t>2025-08-01 18:19:47.482 IST</t>
        </is>
      </c>
      <c r="M1843" t="inlineStr">
        <is>
          <t>Soundariya B</t>
        </is>
      </c>
      <c r="N1843" t="inlineStr">
        <is>
          <t>Yes</t>
        </is>
      </c>
      <c r="O1843" t="inlineStr">
        <is>
          <t>Yes</t>
        </is>
      </c>
      <c r="P1843" t="inlineStr">
        <is>
          <t>Soundariya B</t>
        </is>
      </c>
      <c r="Q1843" t="inlineStr">
        <is>
          <t>Bad</t>
        </is>
      </c>
    </row>
    <row r="1844">
      <c r="A1844" t="inlineStr">
        <is>
          <t>hitesh.k</t>
        </is>
      </c>
      <c r="B1844" t="inlineStr">
        <is>
          <t>Hitesh Kandpal</t>
        </is>
      </c>
      <c r="C1844" t="inlineStr">
        <is>
          <t>hitesh.k@osmosys.co</t>
        </is>
      </c>
      <c r="D1844" t="inlineStr">
        <is>
          <t>incident-reporter</t>
        </is>
      </c>
      <c r="E1844">
        <f>HYPERLINK("http://gitlab.osmosys.co/incident-reporter/incident-reporter-angular-portal", "OQSHA Portal")</f>
        <v/>
      </c>
      <c r="F1844">
        <f>HYPERLINK("http://gitlab.osmosys.co/incident-reporter/incident-reporter-angular-portal/-/merge_requests/3673", "fix: render standalone checks for MOC")</f>
        <v/>
      </c>
      <c r="G1844" t="inlineStr">
        <is>
          <t>fix/update-standalone-checks</t>
        </is>
      </c>
      <c r="H1844" t="inlineStr">
        <is>
          <t>sprint-19</t>
        </is>
      </c>
      <c r="I1844" t="inlineStr">
        <is>
          <t>merged</t>
        </is>
      </c>
      <c r="J1844" t="inlineStr">
        <is>
          <t>b1e0f6fce581991577276dfcbc6d3ed3890e09b5</t>
        </is>
      </c>
      <c r="K1844">
        <f>HYPERLINK("http://gitlab.osmosys.co/incident-reporter/incident-reporter-angular-portal/-/merge_requests/3673#note_245925", "updated SS")</f>
        <v/>
      </c>
      <c r="L1844" t="inlineStr">
        <is>
          <t>2025-08-02 03:05:07.264 IST</t>
        </is>
      </c>
      <c r="M1844" t="inlineStr">
        <is>
          <t>Hitesh Kandpal</t>
        </is>
      </c>
      <c r="N1844" t="inlineStr">
        <is>
          <t>No</t>
        </is>
      </c>
      <c r="O1844" t="inlineStr">
        <is>
          <t>Yes</t>
        </is>
      </c>
      <c r="P1844" t="inlineStr">
        <is>
          <t>Soundariya B</t>
        </is>
      </c>
      <c r="Q1844" t="inlineStr">
        <is>
          <t>Bad</t>
        </is>
      </c>
    </row>
    <row r="1845">
      <c r="A1845" t="inlineStr">
        <is>
          <t>hitesh.k</t>
        </is>
      </c>
      <c r="B1845" t="inlineStr">
        <is>
          <t>Hitesh Kandpal</t>
        </is>
      </c>
      <c r="C1845" t="inlineStr">
        <is>
          <t>hitesh.k@osmosys.co</t>
        </is>
      </c>
      <c r="D1845" t="inlineStr">
        <is>
          <t>incident-reporter</t>
        </is>
      </c>
      <c r="E1845">
        <f>HYPERLINK("http://gitlab.osmosys.co/incident-reporter/incident-reporter-angular-portal", "OQSHA Portal")</f>
        <v/>
      </c>
      <c r="F1845">
        <f>HYPERLINK("http://gitlab.osmosys.co/incident-reporter/incident-reporter-angular-portal/-/merge_requests/3673", "fix: render standalone checks for MOC")</f>
        <v/>
      </c>
      <c r="G1845" t="inlineStr">
        <is>
          <t>fix/update-standalone-checks</t>
        </is>
      </c>
      <c r="H1845" t="inlineStr">
        <is>
          <t>sprint-19</t>
        </is>
      </c>
      <c r="I1845" t="inlineStr">
        <is>
          <t>merged</t>
        </is>
      </c>
      <c r="J1845" t="inlineStr">
        <is>
          <t>7f42ce4facf61e802c888b1114e819133f1dd165</t>
        </is>
      </c>
      <c r="K1845">
        <f>HYPERLINK("http://gitlab.osmosys.co/incident-reporter/incident-reporter-angular-portal/-/merge_requests/3673#note_245128", "Update the PR title to - fix: render standalone checks for MOC")</f>
        <v/>
      </c>
      <c r="L1845" t="inlineStr">
        <is>
          <t>2025-07-31 20:45:48.501 IST</t>
        </is>
      </c>
      <c r="M1845" t="inlineStr">
        <is>
          <t>Soundariya B</t>
        </is>
      </c>
      <c r="N1845" t="inlineStr">
        <is>
          <t>Yes</t>
        </is>
      </c>
      <c r="O1845" t="inlineStr">
        <is>
          <t>Yes</t>
        </is>
      </c>
      <c r="P1845" t="inlineStr">
        <is>
          <t>Soundariya B</t>
        </is>
      </c>
      <c r="Q1845" t="inlineStr">
        <is>
          <t>Bad</t>
        </is>
      </c>
    </row>
    <row r="1846">
      <c r="A1846" t="inlineStr">
        <is>
          <t>hitesh.k</t>
        </is>
      </c>
      <c r="B1846" t="inlineStr">
        <is>
          <t>Hitesh Kandpal</t>
        </is>
      </c>
      <c r="C1846" t="inlineStr">
        <is>
          <t>hitesh.k@osmosys.co</t>
        </is>
      </c>
      <c r="D1846" t="inlineStr">
        <is>
          <t>incident-reporter</t>
        </is>
      </c>
      <c r="E1846">
        <f>HYPERLINK("http://gitlab.osmosys.co/incident-reporter/incident-reporter-angular-portal", "OQSHA Portal")</f>
        <v/>
      </c>
      <c r="F1846">
        <f>HYPERLINK("http://gitlab.osmosys.co/incident-reporter/incident-reporter-angular-portal/-/merge_requests/3673", "fix: render standalone checks for MOC")</f>
        <v/>
      </c>
      <c r="G1846" t="inlineStr">
        <is>
          <t>fix/update-standalone-checks</t>
        </is>
      </c>
      <c r="H1846" t="inlineStr">
        <is>
          <t>sprint-19</t>
        </is>
      </c>
      <c r="I1846" t="inlineStr">
        <is>
          <t>merged</t>
        </is>
      </c>
      <c r="J1846" t="inlineStr">
        <is>
          <t>7f42ce4facf61e802c888b1114e819133f1dd165</t>
        </is>
      </c>
      <c r="K1846">
        <f>HYPERLINK("http://gitlab.osmosys.co/incident-reporter/incident-reporter-angular-portal/-/merge_requests/3673#note_245157", "done")</f>
        <v/>
      </c>
      <c r="L1846" t="inlineStr">
        <is>
          <t>2025-07-31 22:22:17.713 IST</t>
        </is>
      </c>
      <c r="M1846" t="inlineStr">
        <is>
          <t>Hitesh Kandpal</t>
        </is>
      </c>
      <c r="N1846" t="inlineStr">
        <is>
          <t>No</t>
        </is>
      </c>
      <c r="O1846" t="inlineStr">
        <is>
          <t>Yes</t>
        </is>
      </c>
      <c r="P1846" t="inlineStr">
        <is>
          <t>Soundariya B</t>
        </is>
      </c>
      <c r="Q1846" t="inlineStr">
        <is>
          <t>Bad</t>
        </is>
      </c>
    </row>
    <row r="1847">
      <c r="A1847" t="inlineStr">
        <is>
          <t>hitesh.k</t>
        </is>
      </c>
      <c r="B1847" t="inlineStr">
        <is>
          <t>Hitesh Kandpal</t>
        </is>
      </c>
      <c r="C1847" t="inlineStr">
        <is>
          <t>hitesh.k@osmosys.co</t>
        </is>
      </c>
      <c r="D1847" t="inlineStr">
        <is>
          <t>incident-reporter</t>
        </is>
      </c>
      <c r="E1847">
        <f>HYPERLINK("http://gitlab.osmosys.co/incident-reporter/incident-reporter-angular-portal", "OQSHA Portal")</f>
        <v/>
      </c>
      <c r="F1847">
        <f>HYPERLINK("http://gitlab.osmosys.co/incident-reporter/incident-reporter-angular-portal/-/merge_requests/3673", "fix: render standalone checks for MOC")</f>
        <v/>
      </c>
      <c r="G1847" t="inlineStr">
        <is>
          <t>fix/update-standalone-checks</t>
        </is>
      </c>
      <c r="H1847" t="inlineStr">
        <is>
          <t>sprint-19</t>
        </is>
      </c>
      <c r="I1847" t="inlineStr">
        <is>
          <t>merged</t>
        </is>
      </c>
      <c r="J1847" t="inlineStr">
        <is>
          <t>b29bc07171070dd365f371918c752dfd8fda52e8</t>
        </is>
      </c>
      <c r="K1847">
        <f>HYPERLINK("http://gitlab.osmosys.co/incident-reporter/incident-reporter-angular-portal/-/merge_requests/3673#note_245129", "Take the check type from constant file")</f>
        <v/>
      </c>
      <c r="L1847" t="inlineStr">
        <is>
          <t>2025-07-31 20:45:48.573 IST</t>
        </is>
      </c>
      <c r="M1847" t="inlineStr">
        <is>
          <t>Soundariya B</t>
        </is>
      </c>
      <c r="N1847" t="inlineStr">
        <is>
          <t>Yes</t>
        </is>
      </c>
      <c r="O1847" t="inlineStr">
        <is>
          <t>Yes</t>
        </is>
      </c>
      <c r="P1847" t="inlineStr">
        <is>
          <t>Soundariya B</t>
        </is>
      </c>
      <c r="Q1847" t="inlineStr">
        <is>
          <t>Bad</t>
        </is>
      </c>
    </row>
    <row r="1848">
      <c r="A1848" t="inlineStr">
        <is>
          <t>hitesh.k</t>
        </is>
      </c>
      <c r="B1848" t="inlineStr">
        <is>
          <t>Hitesh Kandpal</t>
        </is>
      </c>
      <c r="C1848" t="inlineStr">
        <is>
          <t>hitesh.k@osmosys.co</t>
        </is>
      </c>
      <c r="D1848" t="inlineStr">
        <is>
          <t>incident-reporter</t>
        </is>
      </c>
      <c r="E1848">
        <f>HYPERLINK("http://gitlab.osmosys.co/incident-reporter/incident-reporter-angular-portal", "OQSHA Portal")</f>
        <v/>
      </c>
      <c r="F1848">
        <f>HYPERLINK("http://gitlab.osmosys.co/incident-reporter/incident-reporter-angular-portal/-/merge_requests/3673", "fix: render standalone checks for MOC")</f>
        <v/>
      </c>
      <c r="G1848" t="inlineStr">
        <is>
          <t>fix/update-standalone-checks</t>
        </is>
      </c>
      <c r="H1848" t="inlineStr">
        <is>
          <t>sprint-19</t>
        </is>
      </c>
      <c r="I1848" t="inlineStr">
        <is>
          <t>merged</t>
        </is>
      </c>
      <c r="J1848" t="inlineStr">
        <is>
          <t>b29bc07171070dd365f371918c752dfd8fda52e8</t>
        </is>
      </c>
      <c r="K1848">
        <f>HYPERLINK("http://gitlab.osmosys.co/incident-reporter/incident-reporter-angular-portal/-/merge_requests/3673#note_245319", "fixed")</f>
        <v/>
      </c>
      <c r="L1848" t="inlineStr">
        <is>
          <t>2025-08-01 13:12:58.708 IST</t>
        </is>
      </c>
      <c r="M1848" t="inlineStr">
        <is>
          <t>Hitesh Kandpal</t>
        </is>
      </c>
      <c r="N1848" t="inlineStr">
        <is>
          <t>No</t>
        </is>
      </c>
      <c r="O1848" t="inlineStr">
        <is>
          <t>Yes</t>
        </is>
      </c>
      <c r="P1848" t="inlineStr">
        <is>
          <t>Soundariya B</t>
        </is>
      </c>
      <c r="Q1848" t="inlineStr">
        <is>
          <t>Bad</t>
        </is>
      </c>
    </row>
    <row r="1849">
      <c r="A1849" t="inlineStr">
        <is>
          <t>hitesh.k</t>
        </is>
      </c>
      <c r="B1849" t="inlineStr">
        <is>
          <t>Hitesh Kandpal</t>
        </is>
      </c>
      <c r="C1849" t="inlineStr">
        <is>
          <t>hitesh.k@osmosys.co</t>
        </is>
      </c>
      <c r="D1849" t="inlineStr">
        <is>
          <t>incident-reporter</t>
        </is>
      </c>
      <c r="E1849">
        <f>HYPERLINK("http://gitlab.osmosys.co/incident-reporter/incident-reporter-angular-portal", "OQSHA Portal")</f>
        <v/>
      </c>
      <c r="F1849">
        <f>HYPERLINK("http://gitlab.osmosys.co/incident-reporter/incident-reporter-angular-portal/-/merge_requests/3673", "fix: render standalone checks for MOC")</f>
        <v/>
      </c>
      <c r="G1849" t="inlineStr">
        <is>
          <t>fix/update-standalone-checks</t>
        </is>
      </c>
      <c r="H1849" t="inlineStr">
        <is>
          <t>sprint-19</t>
        </is>
      </c>
      <c r="I1849" t="inlineStr">
        <is>
          <t>merged</t>
        </is>
      </c>
      <c r="J1849" t="inlineStr">
        <is>
          <t>7af9559f7a9de1fa562dd5eff84aaf529855709e</t>
        </is>
      </c>
      <c r="K1849">
        <f>HYPERLINK("http://gitlab.osmosys.co/incident-reporter/incident-reporter-angular-portal/-/merge_requests/3673#note_245130", "While binding using the ternary operator is not a good practice, please improve and fix it - Fix is everywhere in this PR")</f>
        <v/>
      </c>
      <c r="L1849" t="inlineStr">
        <is>
          <t>2025-07-31 20:45:48.641 IST</t>
        </is>
      </c>
      <c r="M1849" t="inlineStr">
        <is>
          <t>Soundariya B</t>
        </is>
      </c>
      <c r="N1849" t="inlineStr">
        <is>
          <t>Yes</t>
        </is>
      </c>
      <c r="O1849" t="inlineStr">
        <is>
          <t>Yes</t>
        </is>
      </c>
      <c r="P1849" t="inlineStr">
        <is>
          <t>Soundariya B</t>
        </is>
      </c>
      <c r="Q1849" t="inlineStr">
        <is>
          <t>Neutral</t>
        </is>
      </c>
    </row>
    <row r="1850">
      <c r="A1850" t="inlineStr">
        <is>
          <t>hitesh.k</t>
        </is>
      </c>
      <c r="B1850" t="inlineStr">
        <is>
          <t>Hitesh Kandpal</t>
        </is>
      </c>
      <c r="C1850" t="inlineStr">
        <is>
          <t>hitesh.k@osmosys.co</t>
        </is>
      </c>
      <c r="D1850" t="inlineStr">
        <is>
          <t>incident-reporter</t>
        </is>
      </c>
      <c r="E1850">
        <f>HYPERLINK("http://gitlab.osmosys.co/incident-reporter/incident-reporter-angular-portal", "OQSHA Portal")</f>
        <v/>
      </c>
      <c r="F1850">
        <f>HYPERLINK("http://gitlab.osmosys.co/incident-reporter/incident-reporter-angular-portal/-/merge_requests/3673", "fix: render standalone checks for MOC")</f>
        <v/>
      </c>
      <c r="G1850" t="inlineStr">
        <is>
          <t>fix/update-standalone-checks</t>
        </is>
      </c>
      <c r="H1850" t="inlineStr">
        <is>
          <t>sprint-19</t>
        </is>
      </c>
      <c r="I1850" t="inlineStr">
        <is>
          <t>merged</t>
        </is>
      </c>
      <c r="J1850" t="inlineStr">
        <is>
          <t>7af9559f7a9de1fa562dd5eff84aaf529855709e</t>
        </is>
      </c>
      <c r="K1850">
        <f>HYPERLINK("http://gitlab.osmosys.co/incident-reporter/incident-reporter-angular-portal/-/merge_requests/3673#note_245324", "Using a simple ternary operator isn't bad practice—if the logic is straightforward, it's better to keep it inline. Creating separate variables for each check can be unnecessarily complex and may cause conflicts if multiple checks share the same type")</f>
        <v/>
      </c>
      <c r="L1850" t="inlineStr">
        <is>
          <t>2025-08-01 13:20:45.637 IST</t>
        </is>
      </c>
      <c r="M1850" t="inlineStr">
        <is>
          <t>Hitesh Kandpal</t>
        </is>
      </c>
      <c r="N1850" t="inlineStr">
        <is>
          <t>No</t>
        </is>
      </c>
      <c r="O1850" t="inlineStr">
        <is>
          <t>Yes</t>
        </is>
      </c>
      <c r="P1850" t="inlineStr">
        <is>
          <t>Soundariya B</t>
        </is>
      </c>
      <c r="Q1850" t="inlineStr">
        <is>
          <t>Neutral</t>
        </is>
      </c>
    </row>
    <row r="1851">
      <c r="A1851" t="inlineStr">
        <is>
          <t>hitesh.k</t>
        </is>
      </c>
      <c r="B1851" t="inlineStr">
        <is>
          <t>Hitesh Kandpal</t>
        </is>
      </c>
      <c r="C1851" t="inlineStr">
        <is>
          <t>hitesh.k@osmosys.co</t>
        </is>
      </c>
      <c r="D1851" t="inlineStr">
        <is>
          <t>incident-reporter</t>
        </is>
      </c>
      <c r="E1851">
        <f>HYPERLINK("http://gitlab.osmosys.co/incident-reporter/incident-reporter-angular-portal", "OQSHA Portal")</f>
        <v/>
      </c>
      <c r="F1851">
        <f>HYPERLINK("http://gitlab.osmosys.co/incident-reporter/incident-reporter-angular-portal/-/merge_requests/3673", "fix: render standalone checks for MOC")</f>
        <v/>
      </c>
      <c r="G1851" t="inlineStr">
        <is>
          <t>fix/update-standalone-checks</t>
        </is>
      </c>
      <c r="H1851" t="inlineStr">
        <is>
          <t>sprint-19</t>
        </is>
      </c>
      <c r="I1851" t="inlineStr">
        <is>
          <t>merged</t>
        </is>
      </c>
      <c r="J1851" t="inlineStr">
        <is>
          <t>7af9559f7a9de1fa562dd5eff84aaf529855709e</t>
        </is>
      </c>
      <c r="K1851">
        <f>HYPERLINK("http://gitlab.osmosys.co/incident-reporter/incident-reporter-angular-portal/-/merge_requests/3673#note_245685", "It repeated across multiple places (violates DRY) 
This can reduce the readability
As reviewer I always suggest to use best practice because later these condition need to change then can change it in one please in ts not in every place in the html file 
For your ref and proof:
![image.png](/uploads/cfd1842a8c73f8d0707a5c20b9d6fa4a/image.png)")</f>
        <v/>
      </c>
      <c r="L1851" t="inlineStr">
        <is>
          <t>2025-08-01 18:11:57.412 IST</t>
        </is>
      </c>
      <c r="M1851" t="inlineStr">
        <is>
          <t>Soundariya B</t>
        </is>
      </c>
      <c r="N1851" t="inlineStr">
        <is>
          <t>Yes</t>
        </is>
      </c>
      <c r="O1851" t="inlineStr">
        <is>
          <t>Yes</t>
        </is>
      </c>
      <c r="P1851" t="inlineStr">
        <is>
          <t>Soundariya B</t>
        </is>
      </c>
      <c r="Q1851" t="inlineStr">
        <is>
          <t>Neutral</t>
        </is>
      </c>
    </row>
    <row r="1852">
      <c r="A1852" t="inlineStr">
        <is>
          <t>hitesh.k</t>
        </is>
      </c>
      <c r="B1852" t="inlineStr">
        <is>
          <t>Hitesh Kandpal</t>
        </is>
      </c>
      <c r="C1852" t="inlineStr">
        <is>
          <t>hitesh.k@osmosys.co</t>
        </is>
      </c>
      <c r="D1852" t="inlineStr">
        <is>
          <t>incident-reporter</t>
        </is>
      </c>
      <c r="E1852">
        <f>HYPERLINK("http://gitlab.osmosys.co/incident-reporter/incident-reporter-angular-portal", "OQSHA Portal")</f>
        <v/>
      </c>
      <c r="F1852">
        <f>HYPERLINK("http://gitlab.osmosys.co/incident-reporter/incident-reporter-angular-portal/-/merge_requests/3673", "fix: render standalone checks for MOC")</f>
        <v/>
      </c>
      <c r="G1852" t="inlineStr">
        <is>
          <t>fix/update-standalone-checks</t>
        </is>
      </c>
      <c r="H1852" t="inlineStr">
        <is>
          <t>sprint-19</t>
        </is>
      </c>
      <c r="I1852" t="inlineStr">
        <is>
          <t>merged</t>
        </is>
      </c>
      <c r="J1852" t="inlineStr">
        <is>
          <t>7af9559f7a9de1fa562dd5eff84aaf529855709e</t>
        </is>
      </c>
      <c r="K1852">
        <f>HYPERLINK("http://gitlab.osmosys.co/incident-reporter/incident-reporter-angular-portal/-/merge_requests/3673#note_245943", "This is just a simple ternary operator used in only two places. There won't be any case where we would need to change it in the future.
Also, if I follow the approach you provided, our whole page will get stuck because the ngModel is inside an *ngFor. When you bind ngModel to a function, that function gets called on every change detection cycle, which would freeze the page. With the current approach it doesn’t have to re-execute external code and it doesn’t trigger re-rendering issues.
Also please provide the resource from where you got this code, i don't think this is a correct approach.")</f>
        <v/>
      </c>
      <c r="L1852" t="inlineStr">
        <is>
          <t>2025-08-02 03:16:56.227 IST</t>
        </is>
      </c>
      <c r="M1852" t="inlineStr">
        <is>
          <t>Hitesh Kandpal</t>
        </is>
      </c>
      <c r="N1852" t="inlineStr">
        <is>
          <t>No</t>
        </is>
      </c>
      <c r="O1852" t="inlineStr">
        <is>
          <t>Yes</t>
        </is>
      </c>
      <c r="P1852" t="inlineStr">
        <is>
          <t>Soundariya B</t>
        </is>
      </c>
      <c r="Q1852" t="inlineStr">
        <is>
          <t>Neutral</t>
        </is>
      </c>
    </row>
    <row r="1853">
      <c r="A1853" t="inlineStr">
        <is>
          <t>hitesh.k</t>
        </is>
      </c>
      <c r="B1853" t="inlineStr">
        <is>
          <t>Hitesh Kandpal</t>
        </is>
      </c>
      <c r="C1853" t="inlineStr">
        <is>
          <t>hitesh.k@osmosys.co</t>
        </is>
      </c>
      <c r="D1853" t="inlineStr">
        <is>
          <t>incident-reporter</t>
        </is>
      </c>
      <c r="E1853">
        <f>HYPERLINK("http://gitlab.osmosys.co/incident-reporter/incident-reporter-angular-portal", "OQSHA Portal")</f>
        <v/>
      </c>
      <c r="F1853">
        <f>HYPERLINK("http://gitlab.osmosys.co/incident-reporter/incident-reporter-angular-portal/-/merge_requests/3673", "fix: render standalone checks for MOC")</f>
        <v/>
      </c>
      <c r="G1853" t="inlineStr">
        <is>
          <t>fix/update-standalone-checks</t>
        </is>
      </c>
      <c r="H1853" t="inlineStr">
        <is>
          <t>sprint-19</t>
        </is>
      </c>
      <c r="I1853" t="inlineStr">
        <is>
          <t>merged</t>
        </is>
      </c>
      <c r="J1853" t="inlineStr">
        <is>
          <t>7af9559f7a9de1fa562dd5eff84aaf529855709e</t>
        </is>
      </c>
      <c r="K1853">
        <f>HYPERLINK("http://gitlab.osmosys.co/incident-reporter/incident-reporter-angular-portal/-/merge_requests/3673#note_245957", "This is the correct approach we need to check with Raj otherwise you all are doing the same thing but for now we can ignore this as per deadline now because till not its not fixed with provided approach, it cause either issue with html and approach we are using in that so that issues will cause which Hitesh mentioned")</f>
        <v/>
      </c>
      <c r="L1853" t="inlineStr">
        <is>
          <t>2025-08-02 03:36:06.379 IST</t>
        </is>
      </c>
      <c r="M1853" t="inlineStr">
        <is>
          <t>Soundariya B</t>
        </is>
      </c>
      <c r="N1853" t="inlineStr">
        <is>
          <t>Yes</t>
        </is>
      </c>
      <c r="O1853" t="inlineStr">
        <is>
          <t>Yes</t>
        </is>
      </c>
      <c r="P1853" t="inlineStr">
        <is>
          <t>Soundariya B</t>
        </is>
      </c>
      <c r="Q1853" t="inlineStr">
        <is>
          <t>Neutral</t>
        </is>
      </c>
    </row>
    <row r="1854">
      <c r="A1854" t="inlineStr">
        <is>
          <t>hitesh.k</t>
        </is>
      </c>
      <c r="B1854" t="inlineStr">
        <is>
          <t>Hitesh Kandpal</t>
        </is>
      </c>
      <c r="C1854" t="inlineStr">
        <is>
          <t>hitesh.k@osmosys.co</t>
        </is>
      </c>
      <c r="D1854" t="inlineStr">
        <is>
          <t>incident-reporter</t>
        </is>
      </c>
      <c r="E1854">
        <f>HYPERLINK("http://gitlab.osmosys.co/incident-reporter/incident-reporter-angular-portal", "OQSHA Portal")</f>
        <v/>
      </c>
      <c r="F1854">
        <f>HYPERLINK("http://gitlab.osmosys.co/incident-reporter/incident-reporter-angular-portal/-/merge_requests/3673", "fix: render standalone checks for MOC")</f>
        <v/>
      </c>
      <c r="G1854" t="inlineStr">
        <is>
          <t>fix/update-standalone-checks</t>
        </is>
      </c>
      <c r="H1854" t="inlineStr">
        <is>
          <t>sprint-19</t>
        </is>
      </c>
      <c r="I1854" t="inlineStr">
        <is>
          <t>merged</t>
        </is>
      </c>
      <c r="J1854" t="inlineStr">
        <is>
          <t>263b1b02ad568ca0f75f8507bdeec1f13b8f8b7a</t>
        </is>
      </c>
      <c r="K1854">
        <f>HYPERLINK("http://gitlab.osmosys.co/incident-reporter/incident-reporter-angular-portal/-/merge_requests/3673#note_245131", "Avoid to use this please")</f>
        <v/>
      </c>
      <c r="L1854" t="inlineStr">
        <is>
          <t>2025-07-31 20:45:48.742 IST</t>
        </is>
      </c>
      <c r="M1854" t="inlineStr">
        <is>
          <t>Soundariya B</t>
        </is>
      </c>
      <c r="N1854" t="inlineStr">
        <is>
          <t>Yes</t>
        </is>
      </c>
      <c r="O1854" t="inlineStr">
        <is>
          <t>Yes</t>
        </is>
      </c>
      <c r="P1854" t="inlineStr">
        <is>
          <t>Soundariya B</t>
        </is>
      </c>
      <c r="Q1854" t="inlineStr">
        <is>
          <t>Bad</t>
        </is>
      </c>
    </row>
    <row r="1855">
      <c r="A1855" t="inlineStr">
        <is>
          <t>hitesh.k</t>
        </is>
      </c>
      <c r="B1855" t="inlineStr">
        <is>
          <t>Hitesh Kandpal</t>
        </is>
      </c>
      <c r="C1855" t="inlineStr">
        <is>
          <t>hitesh.k@osmosys.co</t>
        </is>
      </c>
      <c r="D1855" t="inlineStr">
        <is>
          <t>incident-reporter</t>
        </is>
      </c>
      <c r="E1855">
        <f>HYPERLINK("http://gitlab.osmosys.co/incident-reporter/incident-reporter-angular-portal", "OQSHA Portal")</f>
        <v/>
      </c>
      <c r="F1855">
        <f>HYPERLINK("http://gitlab.osmosys.co/incident-reporter/incident-reporter-angular-portal/-/merge_requests/3673", "fix: render standalone checks for MOC")</f>
        <v/>
      </c>
      <c r="G1855" t="inlineStr">
        <is>
          <t>fix/update-standalone-checks</t>
        </is>
      </c>
      <c r="H1855" t="inlineStr">
        <is>
          <t>sprint-19</t>
        </is>
      </c>
      <c r="I1855" t="inlineStr">
        <is>
          <t>merged</t>
        </is>
      </c>
      <c r="J1855" t="inlineStr">
        <is>
          <t>263b1b02ad568ca0f75f8507bdeec1f13b8f8b7a</t>
        </is>
      </c>
      <c r="K1855">
        <f>HYPERLINK("http://gitlab.osmosys.co/incident-reporter/incident-reporter-angular-portal/-/merge_requests/3673#note_245320", "can't remove this, we need to assign params the values, we can't create separate variable for every check")</f>
        <v/>
      </c>
      <c r="L1855" t="inlineStr">
        <is>
          <t>2025-08-01 13:13:32.549 IST</t>
        </is>
      </c>
      <c r="M1855" t="inlineStr">
        <is>
          <t>Hitesh Kandpal</t>
        </is>
      </c>
      <c r="N1855" t="inlineStr">
        <is>
          <t>No</t>
        </is>
      </c>
      <c r="O1855" t="inlineStr">
        <is>
          <t>Yes</t>
        </is>
      </c>
      <c r="P1855" t="inlineStr">
        <is>
          <t>Soundariya B</t>
        </is>
      </c>
      <c r="Q1855" t="inlineStr">
        <is>
          <t>Bad</t>
        </is>
      </c>
    </row>
    <row r="1856">
      <c r="A1856" t="inlineStr">
        <is>
          <t>hitesh.k</t>
        </is>
      </c>
      <c r="B1856" t="inlineStr">
        <is>
          <t>Hitesh Kandpal</t>
        </is>
      </c>
      <c r="C1856" t="inlineStr">
        <is>
          <t>hitesh.k@osmosys.co</t>
        </is>
      </c>
      <c r="D1856" t="inlineStr">
        <is>
          <t>incident-reporter</t>
        </is>
      </c>
      <c r="E1856">
        <f>HYPERLINK("http://gitlab.osmosys.co/incident-reporter/incident-reporter-angular-portal", "OQSHA Portal")</f>
        <v/>
      </c>
      <c r="F1856">
        <f>HYPERLINK("http://gitlab.osmosys.co/incident-reporter/incident-reporter-angular-portal/-/merge_requests/3673", "fix: render standalone checks for MOC")</f>
        <v/>
      </c>
      <c r="G1856" t="inlineStr">
        <is>
          <t>fix/update-standalone-checks</t>
        </is>
      </c>
      <c r="H1856" t="inlineStr">
        <is>
          <t>sprint-19</t>
        </is>
      </c>
      <c r="I1856" t="inlineStr">
        <is>
          <t>merged</t>
        </is>
      </c>
      <c r="J1856" t="inlineStr">
        <is>
          <t>263b1b02ad568ca0f75f8507bdeec1f13b8f8b7a</t>
        </is>
      </c>
      <c r="K1856">
        <f>HYPERLINK("http://gitlab.osmosys.co/incident-reporter/incident-reporter-angular-portal/-/merge_requests/3673#note_245686", "Ok for now - we need to address this to fix in separate task")</f>
        <v/>
      </c>
      <c r="L1856" t="inlineStr">
        <is>
          <t>2025-08-01 18:13:11.316 IST</t>
        </is>
      </c>
      <c r="M1856" t="inlineStr">
        <is>
          <t>Soundariya B</t>
        </is>
      </c>
      <c r="N1856" t="inlineStr">
        <is>
          <t>Yes</t>
        </is>
      </c>
      <c r="O1856" t="inlineStr">
        <is>
          <t>Yes</t>
        </is>
      </c>
      <c r="P1856" t="inlineStr">
        <is>
          <t>Soundariya B</t>
        </is>
      </c>
      <c r="Q1856" t="inlineStr">
        <is>
          <t>Bad</t>
        </is>
      </c>
    </row>
    <row r="1857">
      <c r="A1857" t="inlineStr">
        <is>
          <t>hitesh.k</t>
        </is>
      </c>
      <c r="B1857" t="inlineStr">
        <is>
          <t>Hitesh Kandpal</t>
        </is>
      </c>
      <c r="C1857" t="inlineStr">
        <is>
          <t>hitesh.k@osmosys.co</t>
        </is>
      </c>
      <c r="D1857" t="inlineStr">
        <is>
          <t>incident-reporter</t>
        </is>
      </c>
      <c r="E1857">
        <f>HYPERLINK("http://gitlab.osmosys.co/incident-reporter/incident-reporter-angular-portal", "OQSHA Portal")</f>
        <v/>
      </c>
      <c r="F1857">
        <f>HYPERLINK("http://gitlab.osmosys.co/incident-reporter/incident-reporter-angular-portal/-/merge_requests/3673", "fix: render standalone checks for MOC")</f>
        <v/>
      </c>
      <c r="G1857" t="inlineStr">
        <is>
          <t>fix/update-standalone-checks</t>
        </is>
      </c>
      <c r="H1857" t="inlineStr">
        <is>
          <t>sprint-19</t>
        </is>
      </c>
      <c r="I1857" t="inlineStr">
        <is>
          <t>merged</t>
        </is>
      </c>
      <c r="J1857" t="inlineStr">
        <is>
          <t>9ed73952213cdfa5a0df64ac6a665553107063f6</t>
        </is>
      </c>
      <c r="K1857">
        <f>HYPERLINK("http://gitlab.osmosys.co/incident-reporter/incident-reporter-angular-portal/-/merge_requests/3673#note_245132", "Improve and reuse the split functions in ngOnInt
```
extractSections() {
  if (
    this.mocData &amp;&amp;
    Array.isArray(this.mocData.Checks) &amp;&amp;
    this.mocData.Checks.length &gt; 0 &amp;&amp;
    this.mocData.Checks[0].Checks &amp;&amp;
    Array.isArray(this.mocData.Checks[0].Checks.Sections)
  ) {
    const allSections = this.mocData.Checks[0].Checks.Sections;
    this.standaloneSection = allSections.find((section) =&gt; section.SectionId === 0);
    this.mocData.Checks[0].Checks.Sections = allSections.filter(
      (section) =&gt; section.SectionId !== 0
    );
  }
}
processDateChecks() {
  this.standaloneSection?.Checks?.forEach((check) =&gt; {
    if (check.Type === constants.CHECK_TYPE.DATE &amp;&amp; check.Value) {
      const [day, month, year] = check.Value.split('-').map(Number);
      const parsedDate = new Date(year, month - 1, day);
      if (!Number.isNaN(parsedDate.getTime())) {
        this.selectedEntryDate[check.Id] = parsedDate;
      }
    }
  });
}
processDateTimeChecks() {
  this.standaloneSection?.Checks?.forEach((check) =&gt; {
    if (check.Type === constants.CHECK_TYPE.DATE_TIME &amp;&amp; check.Value) {
      const [datePart, timePart] = check.Value.split('T');
      if (datePart &amp;&amp; timePart) {
        const [day, month, year] = datePart.split('-').map(Number);
        const [hh, mm] = timePart.split(':').map(Number);
        const parsedDate = new Date(year, month - 1, day, hh, mm);
        if (!Number.isNaN(parsedDate.getTime())) {
          this.selectedDateTime[check.Id] = new Date(year, month - 1, day);
          this.selectedTime[check.Id] = `${hh.toString().padStart(2, '0')}:${mm
            .toString()
            .padStart(2, '0')}`;
        }
      }
    }
  });
}
this.extractSections();
this.processDateChecks();
this.processDateTimeChecks();
```
- Easier to read and unit test.
- Logic grouped by intent—section extraction vs date parsing.
- Reusable if needed in other flows or components.")</f>
        <v/>
      </c>
      <c r="L1857" t="inlineStr">
        <is>
          <t>2025-07-31 20:45:48.795 IST</t>
        </is>
      </c>
      <c r="M1857" t="inlineStr">
        <is>
          <t>Soundariya B</t>
        </is>
      </c>
      <c r="N1857" t="inlineStr">
        <is>
          <t>Yes</t>
        </is>
      </c>
      <c r="O1857" t="inlineStr">
        <is>
          <t>Yes</t>
        </is>
      </c>
      <c r="P1857" t="inlineStr">
        <is>
          <t>Soundariya B</t>
        </is>
      </c>
      <c r="Q1857" t="inlineStr">
        <is>
          <t>Bad</t>
        </is>
      </c>
    </row>
    <row r="1858">
      <c r="A1858" t="inlineStr">
        <is>
          <t>hitesh.k</t>
        </is>
      </c>
      <c r="B1858" t="inlineStr">
        <is>
          <t>Hitesh Kandpal</t>
        </is>
      </c>
      <c r="C1858" t="inlineStr">
        <is>
          <t>hitesh.k@osmosys.co</t>
        </is>
      </c>
      <c r="D1858" t="inlineStr">
        <is>
          <t>incident-reporter</t>
        </is>
      </c>
      <c r="E1858">
        <f>HYPERLINK("http://gitlab.osmosys.co/incident-reporter/incident-reporter-angular-portal", "OQSHA Portal")</f>
        <v/>
      </c>
      <c r="F1858">
        <f>HYPERLINK("http://gitlab.osmosys.co/incident-reporter/incident-reporter-angular-portal/-/merge_requests/3673", "fix: render standalone checks for MOC")</f>
        <v/>
      </c>
      <c r="G1858" t="inlineStr">
        <is>
          <t>fix/update-standalone-checks</t>
        </is>
      </c>
      <c r="H1858" t="inlineStr">
        <is>
          <t>sprint-19</t>
        </is>
      </c>
      <c r="I1858" t="inlineStr">
        <is>
          <t>merged</t>
        </is>
      </c>
      <c r="J1858" t="inlineStr">
        <is>
          <t>9ed73952213cdfa5a0df64ac6a665553107063f6</t>
        </is>
      </c>
      <c r="K1858">
        <f>HYPERLINK("http://gitlab.osmosys.co/incident-reporter/incident-reporter-angular-portal/-/merge_requests/3673#note_245321", "fixed it")</f>
        <v/>
      </c>
      <c r="L1858" t="inlineStr">
        <is>
          <t>2025-08-01 13:15:36.780 IST</t>
        </is>
      </c>
      <c r="M1858" t="inlineStr">
        <is>
          <t>Hitesh Kandpal</t>
        </is>
      </c>
      <c r="N1858" t="inlineStr">
        <is>
          <t>No</t>
        </is>
      </c>
      <c r="O1858" t="inlineStr">
        <is>
          <t>Yes</t>
        </is>
      </c>
      <c r="P1858" t="inlineStr">
        <is>
          <t>Soundariya B</t>
        </is>
      </c>
      <c r="Q1858" t="inlineStr">
        <is>
          <t>Bad</t>
        </is>
      </c>
    </row>
    <row r="1859">
      <c r="A1859" t="inlineStr">
        <is>
          <t>hitesh.k</t>
        </is>
      </c>
      <c r="B1859" t="inlineStr">
        <is>
          <t>Hitesh Kandpal</t>
        </is>
      </c>
      <c r="C1859" t="inlineStr">
        <is>
          <t>hitesh.k@osmosys.co</t>
        </is>
      </c>
      <c r="D1859" t="inlineStr">
        <is>
          <t>incident-reporter</t>
        </is>
      </c>
      <c r="E1859">
        <f>HYPERLINK("http://gitlab.osmosys.co/incident-reporter/incident-reporter-angular-portal", "OQSHA Portal")</f>
        <v/>
      </c>
      <c r="F1859">
        <f>HYPERLINK("http://gitlab.osmosys.co/incident-reporter/incident-reporter-angular-portal/-/merge_requests/3673", "fix: render standalone checks for MOC")</f>
        <v/>
      </c>
      <c r="G1859" t="inlineStr">
        <is>
          <t>fix/update-standalone-checks</t>
        </is>
      </c>
      <c r="H1859" t="inlineStr">
        <is>
          <t>sprint-19</t>
        </is>
      </c>
      <c r="I1859" t="inlineStr">
        <is>
          <t>merged</t>
        </is>
      </c>
      <c r="J1859" t="inlineStr">
        <is>
          <t>83648ac9ce2e41fa7488abb1bfa137f8a558fc90</t>
        </is>
      </c>
      <c r="K1859">
        <f>HYPERLINK("http://gitlab.osmosys.co/incident-reporter/incident-reporter-angular-portal/-/merge_requests/3673#note_245133", "Revert this change - this is already done by Sayan in the other which is already merged - https://gitlab.osmosys.co/incident-reporter/incident-reporter-angular-portal/-/merge_requests/3669")</f>
        <v/>
      </c>
      <c r="L1859" t="inlineStr">
        <is>
          <t>2025-07-31 20:45:48.897 IST</t>
        </is>
      </c>
      <c r="M1859" t="inlineStr">
        <is>
          <t>Soundariya B</t>
        </is>
      </c>
      <c r="N1859" t="inlineStr">
        <is>
          <t>Yes</t>
        </is>
      </c>
      <c r="O1859" t="inlineStr">
        <is>
          <t>Yes</t>
        </is>
      </c>
      <c r="P1859" t="inlineStr">
        <is>
          <t>Soundariya B</t>
        </is>
      </c>
      <c r="Q1859" t="inlineStr">
        <is>
          <t>Bad</t>
        </is>
      </c>
    </row>
    <row r="1860">
      <c r="A1860" t="inlineStr">
        <is>
          <t>hitesh.k</t>
        </is>
      </c>
      <c r="B1860" t="inlineStr">
        <is>
          <t>Hitesh Kandpal</t>
        </is>
      </c>
      <c r="C1860" t="inlineStr">
        <is>
          <t>hitesh.k@osmosys.co</t>
        </is>
      </c>
      <c r="D1860" t="inlineStr">
        <is>
          <t>incident-reporter</t>
        </is>
      </c>
      <c r="E1860">
        <f>HYPERLINK("http://gitlab.osmosys.co/incident-reporter/incident-reporter-angular-portal", "OQSHA Portal")</f>
        <v/>
      </c>
      <c r="F1860">
        <f>HYPERLINK("http://gitlab.osmosys.co/incident-reporter/incident-reporter-angular-portal/-/merge_requests/3673", "fix: render standalone checks for MOC")</f>
        <v/>
      </c>
      <c r="G1860" t="inlineStr">
        <is>
          <t>fix/update-standalone-checks</t>
        </is>
      </c>
      <c r="H1860" t="inlineStr">
        <is>
          <t>sprint-19</t>
        </is>
      </c>
      <c r="I1860" t="inlineStr">
        <is>
          <t>merged</t>
        </is>
      </c>
      <c r="J1860" t="inlineStr">
        <is>
          <t>83648ac9ce2e41fa7488abb1bfa137f8a558fc90</t>
        </is>
      </c>
      <c r="K1860">
        <f>HYPERLINK("http://gitlab.osmosys.co/incident-reporter/incident-reporter-angular-portal/-/merge_requests/3673#note_245322", "no need of this, if i revert and my pr gets merged changed will be lost, this kind of things won't affect any flow, raj have already confirmed this in past multiple times to other devs as well")</f>
        <v/>
      </c>
      <c r="L1860" t="inlineStr">
        <is>
          <t>2025-08-01 13:17:02.509 IST</t>
        </is>
      </c>
      <c r="M1860" t="inlineStr">
        <is>
          <t>Hitesh Kandpal</t>
        </is>
      </c>
      <c r="N1860" t="inlineStr">
        <is>
          <t>No</t>
        </is>
      </c>
      <c r="O1860" t="inlineStr">
        <is>
          <t>Yes</t>
        </is>
      </c>
      <c r="P1860" t="inlineStr">
        <is>
          <t>Soundariya B</t>
        </is>
      </c>
      <c r="Q1860" t="inlineStr">
        <is>
          <t>Bad</t>
        </is>
      </c>
    </row>
    <row r="1861">
      <c r="A1861" t="inlineStr">
        <is>
          <t>hitesh.k</t>
        </is>
      </c>
      <c r="B1861" t="inlineStr">
        <is>
          <t>Hitesh Kandpal</t>
        </is>
      </c>
      <c r="C1861" t="inlineStr">
        <is>
          <t>hitesh.k@osmosys.co</t>
        </is>
      </c>
      <c r="D1861" t="inlineStr">
        <is>
          <t>incident-reporter</t>
        </is>
      </c>
      <c r="E1861">
        <f>HYPERLINK("http://gitlab.osmosys.co/incident-reporter/incident-reporter-angular-portal", "OQSHA Portal")</f>
        <v/>
      </c>
      <c r="F1861">
        <f>HYPERLINK("http://gitlab.osmosys.co/incident-reporter/incident-reporter-angular-portal/-/merge_requests/3673", "fix: render standalone checks for MOC")</f>
        <v/>
      </c>
      <c r="G1861" t="inlineStr">
        <is>
          <t>fix/update-standalone-checks</t>
        </is>
      </c>
      <c r="H1861" t="inlineStr">
        <is>
          <t>sprint-19</t>
        </is>
      </c>
      <c r="I1861" t="inlineStr">
        <is>
          <t>merged</t>
        </is>
      </c>
      <c r="J1861" t="inlineStr">
        <is>
          <t>83648ac9ce2e41fa7488abb1bfa137f8a558fc90</t>
        </is>
      </c>
      <c r="K1861">
        <f>HYPERLINK("http://gitlab.osmosys.co/incident-reporter/incident-reporter-angular-portal/-/merge_requests/3673#note_245687", "Ok but make sure these changes are the same with attached PR in thread")</f>
        <v/>
      </c>
      <c r="L1861" t="inlineStr">
        <is>
          <t>2025-08-01 18:15:04.571 IST</t>
        </is>
      </c>
      <c r="M1861" t="inlineStr">
        <is>
          <t>Soundariya B</t>
        </is>
      </c>
      <c r="N1861" t="inlineStr">
        <is>
          <t>Yes</t>
        </is>
      </c>
      <c r="O1861" t="inlineStr">
        <is>
          <t>Yes</t>
        </is>
      </c>
      <c r="P1861" t="inlineStr">
        <is>
          <t>Soundariya B</t>
        </is>
      </c>
      <c r="Q1861" t="inlineStr">
        <is>
          <t>Bad</t>
        </is>
      </c>
    </row>
    <row r="1862">
      <c r="A1862" t="inlineStr">
        <is>
          <t>hitesh.k</t>
        </is>
      </c>
      <c r="B1862" t="inlineStr">
        <is>
          <t>Hitesh Kandpal</t>
        </is>
      </c>
      <c r="C1862" t="inlineStr">
        <is>
          <t>hitesh.k@osmosys.co</t>
        </is>
      </c>
      <c r="D1862" t="inlineStr">
        <is>
          <t>incident-reporter</t>
        </is>
      </c>
      <c r="E1862">
        <f>HYPERLINK("http://gitlab.osmosys.co/incident-reporter/incident-reporter-angular-portal", "OQSHA Portal")</f>
        <v/>
      </c>
      <c r="F1862">
        <f>HYPERLINK("http://gitlab.osmosys.co/incident-reporter/incident-reporter-angular-portal/-/merge_requests/3673", "fix: render standalone checks for MOC")</f>
        <v/>
      </c>
      <c r="G1862" t="inlineStr">
        <is>
          <t>fix/update-standalone-checks</t>
        </is>
      </c>
      <c r="H1862" t="inlineStr">
        <is>
          <t>sprint-19</t>
        </is>
      </c>
      <c r="I1862" t="inlineStr">
        <is>
          <t>merged</t>
        </is>
      </c>
      <c r="J1862" t="inlineStr">
        <is>
          <t>83648ac9ce2e41fa7488abb1bfa137f8a558fc90</t>
        </is>
      </c>
      <c r="K1862">
        <f>HYPERLINK("http://gitlab.osmosys.co/incident-reporter/incident-reporter-angular-portal/-/merge_requests/3673#note_245919", "yes they are same")</f>
        <v/>
      </c>
      <c r="L1862" t="inlineStr">
        <is>
          <t>2025-08-02 02:44:11.567 IST</t>
        </is>
      </c>
      <c r="M1862" t="inlineStr">
        <is>
          <t>Hitesh Kandpal</t>
        </is>
      </c>
      <c r="N1862" t="inlineStr">
        <is>
          <t>No</t>
        </is>
      </c>
      <c r="O1862" t="inlineStr">
        <is>
          <t>Yes</t>
        </is>
      </c>
      <c r="P1862" t="inlineStr">
        <is>
          <t>Soundariya B</t>
        </is>
      </c>
      <c r="Q1862" t="inlineStr">
        <is>
          <t>Bad</t>
        </is>
      </c>
    </row>
    <row r="1863">
      <c r="A1863" t="inlineStr">
        <is>
          <t>hitesh.k</t>
        </is>
      </c>
      <c r="B1863" t="inlineStr">
        <is>
          <t>Hitesh Kandpal</t>
        </is>
      </c>
      <c r="C1863" t="inlineStr">
        <is>
          <t>hitesh.k@osmosys.co</t>
        </is>
      </c>
      <c r="D1863" t="inlineStr">
        <is>
          <t>incident-reporter</t>
        </is>
      </c>
      <c r="E1863">
        <f>HYPERLINK("http://gitlab.osmosys.co/incident-reporter/incident-reporter-angular-portal", "OQSHA Portal")</f>
        <v/>
      </c>
      <c r="F1863">
        <f>HYPERLINK("http://gitlab.osmosys.co/incident-reporter/incident-reporter-angular-portal/-/merge_requests/3673", "fix: render standalone checks for MOC")</f>
        <v/>
      </c>
      <c r="G1863" t="inlineStr">
        <is>
          <t>fix/update-standalone-checks</t>
        </is>
      </c>
      <c r="H1863" t="inlineStr">
        <is>
          <t>sprint-19</t>
        </is>
      </c>
      <c r="I1863" t="inlineStr">
        <is>
          <t>merged</t>
        </is>
      </c>
      <c r="J1863" t="inlineStr">
        <is>
          <t>97cdd45e1369e883773a18ec239112e2a55b23b8</t>
        </is>
      </c>
      <c r="K1863">
        <f>HYPERLINK("http://gitlab.osmosys.co/incident-reporter/incident-reporter-angular-portal/-/merge_requests/3673#note_245134", "Revert this change - this is already done by Sayan in the other which is already merged - https://gitlab.osmosys.co/incident-reporter/incident-reporter-angular-portal/-/merge_requests/3669")</f>
        <v/>
      </c>
      <c r="L1863" t="inlineStr">
        <is>
          <t>2025-07-31 20:45:49.063 IST</t>
        </is>
      </c>
      <c r="M1863" t="inlineStr">
        <is>
          <t>Soundariya B</t>
        </is>
      </c>
      <c r="N1863" t="inlineStr">
        <is>
          <t>Yes</t>
        </is>
      </c>
      <c r="O1863" t="inlineStr">
        <is>
          <t>Yes</t>
        </is>
      </c>
      <c r="P1863" t="inlineStr">
        <is>
          <t>Soundariya B</t>
        </is>
      </c>
      <c r="Q1863" t="inlineStr">
        <is>
          <t>Bad</t>
        </is>
      </c>
    </row>
    <row r="1864">
      <c r="A1864" t="inlineStr">
        <is>
          <t>hitesh.k</t>
        </is>
      </c>
      <c r="B1864" t="inlineStr">
        <is>
          <t>Hitesh Kandpal</t>
        </is>
      </c>
      <c r="C1864" t="inlineStr">
        <is>
          <t>hitesh.k@osmosys.co</t>
        </is>
      </c>
      <c r="D1864" t="inlineStr">
        <is>
          <t>incident-reporter</t>
        </is>
      </c>
      <c r="E1864">
        <f>HYPERLINK("http://gitlab.osmosys.co/incident-reporter/incident-reporter-angular-portal", "OQSHA Portal")</f>
        <v/>
      </c>
      <c r="F1864">
        <f>HYPERLINK("http://gitlab.osmosys.co/incident-reporter/incident-reporter-angular-portal/-/merge_requests/3673", "fix: render standalone checks for MOC")</f>
        <v/>
      </c>
      <c r="G1864" t="inlineStr">
        <is>
          <t>fix/update-standalone-checks</t>
        </is>
      </c>
      <c r="H1864" t="inlineStr">
        <is>
          <t>sprint-19</t>
        </is>
      </c>
      <c r="I1864" t="inlineStr">
        <is>
          <t>merged</t>
        </is>
      </c>
      <c r="J1864" t="inlineStr">
        <is>
          <t>97cdd45e1369e883773a18ec239112e2a55b23b8</t>
        </is>
      </c>
      <c r="K1864">
        <f>HYPERLINK("http://gitlab.osmosys.co/incident-reporter/incident-reporter-angular-portal/-/merge_requests/3673#note_245323", "no need of this, if i revert and my pr gets merged changed will be lost, this kind of things won't affect any flow, raj have already confirmed this in past multiple times to other devs as well")</f>
        <v/>
      </c>
      <c r="L1864" t="inlineStr">
        <is>
          <t>2025-08-01 13:17:13.389 IST</t>
        </is>
      </c>
      <c r="M1864" t="inlineStr">
        <is>
          <t>Hitesh Kandpal</t>
        </is>
      </c>
      <c r="N1864" t="inlineStr">
        <is>
          <t>No</t>
        </is>
      </c>
      <c r="O1864" t="inlineStr">
        <is>
          <t>Yes</t>
        </is>
      </c>
      <c r="P1864" t="inlineStr">
        <is>
          <t>Soundariya B</t>
        </is>
      </c>
      <c r="Q1864" t="inlineStr">
        <is>
          <t>Bad</t>
        </is>
      </c>
    </row>
    <row r="1865">
      <c r="A1865" t="inlineStr">
        <is>
          <t>hitesh.k</t>
        </is>
      </c>
      <c r="B1865" t="inlineStr">
        <is>
          <t>Hitesh Kandpal</t>
        </is>
      </c>
      <c r="C1865" t="inlineStr">
        <is>
          <t>hitesh.k@osmosys.co</t>
        </is>
      </c>
      <c r="D1865" t="inlineStr">
        <is>
          <t>incident-reporter</t>
        </is>
      </c>
      <c r="E1865">
        <f>HYPERLINK("http://gitlab.osmosys.co/incident-reporter/incident-reporter-angular-portal", "OQSHA Portal")</f>
        <v/>
      </c>
      <c r="F1865">
        <f>HYPERLINK("http://gitlab.osmosys.co/incident-reporter/incident-reporter-angular-portal/-/merge_requests/3673", "fix: render standalone checks for MOC")</f>
        <v/>
      </c>
      <c r="G1865" t="inlineStr">
        <is>
          <t>fix/update-standalone-checks</t>
        </is>
      </c>
      <c r="H1865" t="inlineStr">
        <is>
          <t>sprint-19</t>
        </is>
      </c>
      <c r="I1865" t="inlineStr">
        <is>
          <t>merged</t>
        </is>
      </c>
      <c r="J1865" t="inlineStr">
        <is>
          <t>97cdd45e1369e883773a18ec239112e2a55b23b8</t>
        </is>
      </c>
      <c r="K1865">
        <f>HYPERLINK("http://gitlab.osmosys.co/incident-reporter/incident-reporter-angular-portal/-/merge_requests/3673#note_245688", "Ok but make sure these changes are the same with attached PR in thread")</f>
        <v/>
      </c>
      <c r="L1865" t="inlineStr">
        <is>
          <t>2025-08-01 18:15:15.384 IST</t>
        </is>
      </c>
      <c r="M1865" t="inlineStr">
        <is>
          <t>Soundariya B</t>
        </is>
      </c>
      <c r="N1865" t="inlineStr">
        <is>
          <t>Yes</t>
        </is>
      </c>
      <c r="O1865" t="inlineStr">
        <is>
          <t>Yes</t>
        </is>
      </c>
      <c r="P1865" t="inlineStr">
        <is>
          <t>Soundariya B</t>
        </is>
      </c>
      <c r="Q1865" t="inlineStr">
        <is>
          <t>Bad</t>
        </is>
      </c>
    </row>
    <row r="1866">
      <c r="A1866" t="inlineStr">
        <is>
          <t>hitesh.k</t>
        </is>
      </c>
      <c r="B1866" t="inlineStr">
        <is>
          <t>Hitesh Kandpal</t>
        </is>
      </c>
      <c r="C1866" t="inlineStr">
        <is>
          <t>hitesh.k@osmosys.co</t>
        </is>
      </c>
      <c r="D1866" t="inlineStr">
        <is>
          <t>incident-reporter</t>
        </is>
      </c>
      <c r="E1866">
        <f>HYPERLINK("http://gitlab.osmosys.co/incident-reporter/incident-reporter-angular-portal", "OQSHA Portal")</f>
        <v/>
      </c>
      <c r="F1866">
        <f>HYPERLINK("http://gitlab.osmosys.co/incident-reporter/incident-reporter-angular-portal/-/merge_requests/3673", "fix: render standalone checks for MOC")</f>
        <v/>
      </c>
      <c r="G1866" t="inlineStr">
        <is>
          <t>fix/update-standalone-checks</t>
        </is>
      </c>
      <c r="H1866" t="inlineStr">
        <is>
          <t>sprint-19</t>
        </is>
      </c>
      <c r="I1866" t="inlineStr">
        <is>
          <t>merged</t>
        </is>
      </c>
      <c r="J1866" t="inlineStr">
        <is>
          <t>97cdd45e1369e883773a18ec239112e2a55b23b8</t>
        </is>
      </c>
      <c r="K1866">
        <f>HYPERLINK("http://gitlab.osmosys.co/incident-reporter/incident-reporter-angular-portal/-/merge_requests/3673#note_245918", "yes they are same")</f>
        <v/>
      </c>
      <c r="L1866" t="inlineStr">
        <is>
          <t>2025-08-02 02:44:02.517 IST</t>
        </is>
      </c>
      <c r="M1866" t="inlineStr">
        <is>
          <t>Hitesh Kandpal</t>
        </is>
      </c>
      <c r="N1866" t="inlineStr">
        <is>
          <t>No</t>
        </is>
      </c>
      <c r="O1866" t="inlineStr">
        <is>
          <t>Yes</t>
        </is>
      </c>
      <c r="P1866" t="inlineStr">
        <is>
          <t>Soundariya B</t>
        </is>
      </c>
      <c r="Q1866" t="inlineStr">
        <is>
          <t>Bad</t>
        </is>
      </c>
    </row>
    <row r="1867">
      <c r="A1867" t="inlineStr">
        <is>
          <t>hitesh.k</t>
        </is>
      </c>
      <c r="B1867" t="inlineStr">
        <is>
          <t>Hitesh Kandpal</t>
        </is>
      </c>
      <c r="C1867" t="inlineStr">
        <is>
          <t>hitesh.k@osmosys.co</t>
        </is>
      </c>
      <c r="D1867" t="inlineStr">
        <is>
          <t>incident-reporter</t>
        </is>
      </c>
      <c r="E1867">
        <f>HYPERLINK("http://gitlab.osmosys.co/incident-reporter/incident-reporter-angular-portal", "OQSHA Portal")</f>
        <v/>
      </c>
      <c r="F1867">
        <f>HYPERLINK("http://gitlab.osmosys.co/incident-reporter/incident-reporter-angular-portal/-/merge_requests/3673", "fix: render standalone checks for MOC")</f>
        <v/>
      </c>
      <c r="G1867" t="inlineStr">
        <is>
          <t>fix/update-standalone-checks</t>
        </is>
      </c>
      <c r="H1867" t="inlineStr">
        <is>
          <t>sprint-19</t>
        </is>
      </c>
      <c r="I1867" t="inlineStr">
        <is>
          <t>merged</t>
        </is>
      </c>
      <c r="J1867" t="inlineStr">
        <is>
          <t>9fb1182be6890fd9827e7f6c529fb9315a2362b8</t>
        </is>
      </c>
      <c r="K1867">
        <f>HYPERLINK("http://gitlab.osmosys.co/incident-reporter/incident-reporter-angular-portal/-/merge_requests/3673#note_245692", "Instead of adding a new class and CSS, please check which class you added for that element that is causing this border issue so you need to remove that with this you can avoid to use !important and new unnecessary classname")</f>
        <v/>
      </c>
      <c r="L1867" t="inlineStr">
        <is>
          <t>2025-08-01 18:20:19.286 IST</t>
        </is>
      </c>
      <c r="M1867" t="inlineStr">
        <is>
          <t>Soundariya B</t>
        </is>
      </c>
      <c r="N1867" t="inlineStr">
        <is>
          <t>Yes</t>
        </is>
      </c>
      <c r="O1867" t="inlineStr">
        <is>
          <t>Yes</t>
        </is>
      </c>
      <c r="P1867" t="inlineStr">
        <is>
          <t>Soundariya B</t>
        </is>
      </c>
      <c r="Q1867" t="inlineStr">
        <is>
          <t>Bad</t>
        </is>
      </c>
    </row>
    <row r="1868">
      <c r="A1868" t="inlineStr">
        <is>
          <t>hitesh.k</t>
        </is>
      </c>
      <c r="B1868" t="inlineStr">
        <is>
          <t>Hitesh Kandpal</t>
        </is>
      </c>
      <c r="C1868" t="inlineStr">
        <is>
          <t>hitesh.k@osmosys.co</t>
        </is>
      </c>
      <c r="D1868" t="inlineStr">
        <is>
          <t>incident-reporter</t>
        </is>
      </c>
      <c r="E1868">
        <f>HYPERLINK("http://gitlab.osmosys.co/incident-reporter/incident-reporter-angular-portal", "OQSHA Portal")</f>
        <v/>
      </c>
      <c r="F1868">
        <f>HYPERLINK("http://gitlab.osmosys.co/incident-reporter/incident-reporter-angular-portal/-/merge_requests/3673", "fix: render standalone checks for MOC")</f>
        <v/>
      </c>
      <c r="G1868" t="inlineStr">
        <is>
          <t>fix/update-standalone-checks</t>
        </is>
      </c>
      <c r="H1868" t="inlineStr">
        <is>
          <t>sprint-19</t>
        </is>
      </c>
      <c r="I1868" t="inlineStr">
        <is>
          <t>merged</t>
        </is>
      </c>
      <c r="J1868" t="inlineStr">
        <is>
          <t>9fb1182be6890fd9827e7f6c529fb9315a2362b8</t>
        </is>
      </c>
      <c r="K1868">
        <f>HYPERLINK("http://gitlab.osmosys.co/incident-reporter/incident-reporter-angular-portal/-/merge_requests/3673#note_245923", "multiple global css class are affecting form-group here, i have not added any new class, three classes from global css are affecting this one row causing this issue, i can't change global css so i create utility class for this component")</f>
        <v/>
      </c>
      <c r="L1868" t="inlineStr">
        <is>
          <t>2025-08-02 02:50:19.242 IST</t>
        </is>
      </c>
      <c r="M1868" t="inlineStr">
        <is>
          <t>Hitesh Kandpal</t>
        </is>
      </c>
      <c r="N1868" t="inlineStr">
        <is>
          <t>No</t>
        </is>
      </c>
      <c r="O1868" t="inlineStr">
        <is>
          <t>Yes</t>
        </is>
      </c>
      <c r="P1868" t="inlineStr">
        <is>
          <t>Soundariya B</t>
        </is>
      </c>
      <c r="Q1868" t="inlineStr">
        <is>
          <t>Bad</t>
        </is>
      </c>
    </row>
    <row r="1869">
      <c r="A1869" t="inlineStr">
        <is>
          <t>hitesh.k</t>
        </is>
      </c>
      <c r="B1869" t="inlineStr">
        <is>
          <t>Hitesh Kandpal</t>
        </is>
      </c>
      <c r="C1869" t="inlineStr">
        <is>
          <t>hitesh.k@osmosys.co</t>
        </is>
      </c>
      <c r="D1869" t="inlineStr">
        <is>
          <t>incident-reporter</t>
        </is>
      </c>
      <c r="E1869">
        <f>HYPERLINK("http://gitlab.osmosys.co/incident-reporter/incident-reporter-angular-portal", "OQSHA Portal")</f>
        <v/>
      </c>
      <c r="F1869">
        <f>HYPERLINK("http://gitlab.osmosys.co/incident-reporter/incident-reporter-angular-portal/-/merge_requests/3652", "fix: fix hira date and radio button checks rendering")</f>
        <v/>
      </c>
      <c r="G1869" t="inlineStr">
        <is>
          <t>fix/fix-hira-grid-spacing</t>
        </is>
      </c>
      <c r="H1869" t="inlineStr">
        <is>
          <t>sprint-18</t>
        </is>
      </c>
      <c r="I1869" t="inlineStr">
        <is>
          <t>merged</t>
        </is>
      </c>
      <c r="J1869" t="inlineStr">
        <is>
          <t>5a0128f1f956f02ce431759c1d0f2fe9ba3c2b1c</t>
        </is>
      </c>
      <c r="K1869">
        <f>HYPERLINK("http://gitlab.osmosys.co/incident-reporter/incident-reporter-angular-portal/-/merge_requests/3652#note_243889", "* Check the column letter inconsistency please maintain and follow as like other places
* There are 4 options and I can't see 4th radio button option
* The 3rd radio button label text is cutting off which is difficult to read it
* The header/column text should be visible clearly and not cutting off
* Check the date seems invalid all are showing 1999 year date
* Check the last column text of this SS - dat showing instead of date and the icon is overlapping
![image](/uploads/4b203d9db0339152f1b0bf1533888e43/image.png)")</f>
        <v/>
      </c>
      <c r="L1869" t="inlineStr">
        <is>
          <t>2025-07-29 17:00:29.690 IST</t>
        </is>
      </c>
      <c r="M1869" t="inlineStr">
        <is>
          <t>Soundariya B</t>
        </is>
      </c>
      <c r="N1869" t="inlineStr">
        <is>
          <t>Yes</t>
        </is>
      </c>
      <c r="O1869" t="inlineStr">
        <is>
          <t>Yes</t>
        </is>
      </c>
      <c r="P1869" t="inlineStr">
        <is>
          <t>Soundariya B</t>
        </is>
      </c>
      <c r="Q1869" t="inlineStr">
        <is>
          <t>Good</t>
        </is>
      </c>
    </row>
    <row r="1870">
      <c r="A1870" t="inlineStr">
        <is>
          <t>hitesh.k</t>
        </is>
      </c>
      <c r="B1870" t="inlineStr">
        <is>
          <t>Hitesh Kandpal</t>
        </is>
      </c>
      <c r="C1870" t="inlineStr">
        <is>
          <t>hitesh.k@osmosys.co</t>
        </is>
      </c>
      <c r="D1870" t="inlineStr">
        <is>
          <t>incident-reporter</t>
        </is>
      </c>
      <c r="E1870">
        <f>HYPERLINK("http://gitlab.osmosys.co/incident-reporter/incident-reporter-angular-portal", "OQSHA Portal")</f>
        <v/>
      </c>
      <c r="F1870">
        <f>HYPERLINK("http://gitlab.osmosys.co/incident-reporter/incident-reporter-angular-portal/-/merge_requests/3652", "fix: fix hira date and radio button checks rendering")</f>
        <v/>
      </c>
      <c r="G1870" t="inlineStr">
        <is>
          <t>fix/fix-hira-grid-spacing</t>
        </is>
      </c>
      <c r="H1870" t="inlineStr">
        <is>
          <t>sprint-18</t>
        </is>
      </c>
      <c r="I1870" t="inlineStr">
        <is>
          <t>merged</t>
        </is>
      </c>
      <c r="J1870" t="inlineStr">
        <is>
          <t>5a0128f1f956f02ce431759c1d0f2fe9ba3c2b1c</t>
        </is>
      </c>
      <c r="K1870">
        <f>HYPERLINK("http://gitlab.osmosys.co/incident-reporter/incident-reporter-angular-portal/-/merge_requests/3652#note_243896", "nothing needs to be fixed here, everything is already approved")</f>
        <v/>
      </c>
      <c r="L1870" t="inlineStr">
        <is>
          <t>2025-07-29 17:28:19.273 IST</t>
        </is>
      </c>
      <c r="M1870" t="inlineStr">
        <is>
          <t>Hitesh Kandpal</t>
        </is>
      </c>
      <c r="N1870" t="inlineStr">
        <is>
          <t>No</t>
        </is>
      </c>
      <c r="O1870" t="inlineStr">
        <is>
          <t>Yes</t>
        </is>
      </c>
      <c r="P1870" t="inlineStr">
        <is>
          <t>Soundariya B</t>
        </is>
      </c>
      <c r="Q1870" t="inlineStr">
        <is>
          <t>Good</t>
        </is>
      </c>
    </row>
    <row r="1871">
      <c r="A1871" t="inlineStr">
        <is>
          <t>hitesh.k</t>
        </is>
      </c>
      <c r="B1871" t="inlineStr">
        <is>
          <t>Hitesh Kandpal</t>
        </is>
      </c>
      <c r="C1871" t="inlineStr">
        <is>
          <t>hitesh.k@osmosys.co</t>
        </is>
      </c>
      <c r="D1871" t="inlineStr">
        <is>
          <t>incident-reporter</t>
        </is>
      </c>
      <c r="E1871">
        <f>HYPERLINK("http://gitlab.osmosys.co/incident-reporter/incident-reporter-angular-portal", "OQSHA Portal")</f>
        <v/>
      </c>
      <c r="F1871">
        <f>HYPERLINK("http://gitlab.osmosys.co/incident-reporter/incident-reporter-angular-portal/-/merge_requests/3652", "fix: fix hira date and radio button checks rendering")</f>
        <v/>
      </c>
      <c r="G1871" t="inlineStr">
        <is>
          <t>fix/fix-hira-grid-spacing</t>
        </is>
      </c>
      <c r="H1871" t="inlineStr">
        <is>
          <t>sprint-18</t>
        </is>
      </c>
      <c r="I1871" t="inlineStr">
        <is>
          <t>merged</t>
        </is>
      </c>
      <c r="J1871" t="inlineStr">
        <is>
          <t>5a0128f1f956f02ce431759c1d0f2fe9ba3c2b1c</t>
        </is>
      </c>
      <c r="K1871">
        <f>HYPERLINK("http://gitlab.osmosys.co/incident-reporter/incident-reporter-angular-portal/-/merge_requests/3652#note_243943", "Based on pinned comments and proofs I am approving it - https://pinestem.com/dashboard.html#/tasks/quick/INRT-4290/details/?companyId=453&amp;isPrevNext=1&amp;cmntID=1077464
CC: @sameer @RajKumar")</f>
        <v/>
      </c>
      <c r="L1871" t="inlineStr">
        <is>
          <t>2025-07-29 18:24:57.900 IST</t>
        </is>
      </c>
      <c r="M1871" t="inlineStr">
        <is>
          <t>Soundariya B</t>
        </is>
      </c>
      <c r="N1871" t="inlineStr">
        <is>
          <t>Yes</t>
        </is>
      </c>
      <c r="O1871" t="inlineStr">
        <is>
          <t>Yes</t>
        </is>
      </c>
      <c r="P1871" t="inlineStr">
        <is>
          <t>Soundariya B</t>
        </is>
      </c>
      <c r="Q1871" t="inlineStr">
        <is>
          <t>Good</t>
        </is>
      </c>
    </row>
    <row r="1872">
      <c r="A1872" t="inlineStr">
        <is>
          <t>hitesh.k</t>
        </is>
      </c>
      <c r="B1872" t="inlineStr">
        <is>
          <t>Hitesh Kandpal</t>
        </is>
      </c>
      <c r="C1872" t="inlineStr">
        <is>
          <t>hitesh.k@osmosys.co</t>
        </is>
      </c>
      <c r="D1872" t="inlineStr">
        <is>
          <t>incident-reporter</t>
        </is>
      </c>
      <c r="E1872">
        <f>HYPERLINK("http://gitlab.osmosys.co/incident-reporter/incident-reporter-angular-portal", "OQSHA Portal")</f>
        <v/>
      </c>
      <c r="F1872">
        <f>HYPERLINK("http://gitlab.osmosys.co/incident-reporter/incident-reporter-angular-portal/-/merge_requests/3652", "fix: fix hira date and radio button checks rendering")</f>
        <v/>
      </c>
      <c r="G1872" t="inlineStr">
        <is>
          <t>fix/fix-hira-grid-spacing</t>
        </is>
      </c>
      <c r="H1872" t="inlineStr">
        <is>
          <t>sprint-18</t>
        </is>
      </c>
      <c r="I1872" t="inlineStr">
        <is>
          <t>merged</t>
        </is>
      </c>
      <c r="J1872" t="inlineStr">
        <is>
          <t>40418dcc140eaaf32155ae9a049033531de4b0a6</t>
        </is>
      </c>
      <c r="K1872">
        <f>HYPERLINK("http://gitlab.osmosys.co/incident-reporter/incident-reporter-angular-portal/-/merge_requests/3652#note_243890", "These kind of formatting  - already we have separate method so please use that.")</f>
        <v/>
      </c>
      <c r="L1872" t="inlineStr">
        <is>
          <t>2025-07-29 17:00:29.776 IST</t>
        </is>
      </c>
      <c r="M1872" t="inlineStr">
        <is>
          <t>Soundariya B</t>
        </is>
      </c>
      <c r="N1872" t="inlineStr">
        <is>
          <t>Yes</t>
        </is>
      </c>
      <c r="O1872" t="inlineStr">
        <is>
          <t>Yes</t>
        </is>
      </c>
      <c r="P1872" t="inlineStr">
        <is>
          <t>Soundariya B</t>
        </is>
      </c>
      <c r="Q1872" t="inlineStr">
        <is>
          <t>Bad</t>
        </is>
      </c>
    </row>
    <row r="1873">
      <c r="A1873" t="inlineStr">
        <is>
          <t>hitesh.k</t>
        </is>
      </c>
      <c r="B1873" t="inlineStr">
        <is>
          <t>Hitesh Kandpal</t>
        </is>
      </c>
      <c r="C1873" t="inlineStr">
        <is>
          <t>hitesh.k@osmosys.co</t>
        </is>
      </c>
      <c r="D1873" t="inlineStr">
        <is>
          <t>incident-reporter</t>
        </is>
      </c>
      <c r="E1873">
        <f>HYPERLINK("http://gitlab.osmosys.co/incident-reporter/incident-reporter-angular-portal", "OQSHA Portal")</f>
        <v/>
      </c>
      <c r="F1873">
        <f>HYPERLINK("http://gitlab.osmosys.co/incident-reporter/incident-reporter-angular-portal/-/merge_requests/3652", "fix: fix hira date and radio button checks rendering")</f>
        <v/>
      </c>
      <c r="G1873" t="inlineStr">
        <is>
          <t>fix/fix-hira-grid-spacing</t>
        </is>
      </c>
      <c r="H1873" t="inlineStr">
        <is>
          <t>sprint-18</t>
        </is>
      </c>
      <c r="I1873" t="inlineStr">
        <is>
          <t>merged</t>
        </is>
      </c>
      <c r="J1873" t="inlineStr">
        <is>
          <t>40418dcc140eaaf32155ae9a049033531de4b0a6</t>
        </is>
      </c>
      <c r="K1873">
        <f>HYPERLINK("http://gitlab.osmosys.co/incident-reporter/incident-reporter-angular-portal/-/merge_requests/3652#note_243946", "This code has been removed so now ok")</f>
        <v/>
      </c>
      <c r="L1873" t="inlineStr">
        <is>
          <t>2025-07-29 18:26:01.849 IST</t>
        </is>
      </c>
      <c r="M1873" t="inlineStr">
        <is>
          <t>Soundariya B</t>
        </is>
      </c>
      <c r="N1873" t="inlineStr">
        <is>
          <t>Yes</t>
        </is>
      </c>
      <c r="O1873" t="inlineStr">
        <is>
          <t>Yes</t>
        </is>
      </c>
      <c r="P1873" t="inlineStr">
        <is>
          <t>Soundariya B</t>
        </is>
      </c>
      <c r="Q1873" t="inlineStr">
        <is>
          <t>Bad</t>
        </is>
      </c>
    </row>
    <row r="1874">
      <c r="A1874" t="inlineStr">
        <is>
          <t>hitesh.k</t>
        </is>
      </c>
      <c r="B1874" t="inlineStr">
        <is>
          <t>Hitesh Kandpal</t>
        </is>
      </c>
      <c r="C1874" t="inlineStr">
        <is>
          <t>hitesh.k@osmosys.co</t>
        </is>
      </c>
      <c r="D1874" t="inlineStr">
        <is>
          <t>incident-reporter</t>
        </is>
      </c>
      <c r="E1874">
        <f>HYPERLINK("http://gitlab.osmosys.co/incident-reporter/incident-reporter-angular-portal", "OQSHA Portal")</f>
        <v/>
      </c>
      <c r="F1874">
        <f>HYPERLINK("http://gitlab.osmosys.co/incident-reporter/incident-reporter-angular-portal/-/merge_requests/3652", "fix: fix hira date and radio button checks rendering")</f>
        <v/>
      </c>
      <c r="G1874" t="inlineStr">
        <is>
          <t>fix/fix-hira-grid-spacing</t>
        </is>
      </c>
      <c r="H1874" t="inlineStr">
        <is>
          <t>sprint-18</t>
        </is>
      </c>
      <c r="I1874" t="inlineStr">
        <is>
          <t>merged</t>
        </is>
      </c>
      <c r="J1874" t="inlineStr">
        <is>
          <t>7eefa4d03bb0c51bdf98b1e2bc45a4dc381dc62d</t>
        </is>
      </c>
      <c r="K1874">
        <f>HYPERLINK("http://gitlab.osmosys.co/incident-reporter/incident-reporter-angular-portal/-/merge_requests/3652#note_243891", "With this the date column data issue is fixed which I raised in previous thread then ignore and update the SS")</f>
        <v/>
      </c>
      <c r="L1874" t="inlineStr">
        <is>
          <t>2025-07-29 17:00:29.856 IST</t>
        </is>
      </c>
      <c r="M1874" t="inlineStr">
        <is>
          <t>Soundariya B</t>
        </is>
      </c>
      <c r="N1874" t="inlineStr">
        <is>
          <t>Yes</t>
        </is>
      </c>
      <c r="O1874" t="inlineStr">
        <is>
          <t>Yes</t>
        </is>
      </c>
      <c r="P1874" t="inlineStr">
        <is>
          <t>Soundariya B</t>
        </is>
      </c>
      <c r="Q1874" t="inlineStr">
        <is>
          <t>Bad</t>
        </is>
      </c>
    </row>
    <row r="1875">
      <c r="A1875" t="inlineStr">
        <is>
          <t>hitesh.k</t>
        </is>
      </c>
      <c r="B1875" t="inlineStr">
        <is>
          <t>Hitesh Kandpal</t>
        </is>
      </c>
      <c r="C1875" t="inlineStr">
        <is>
          <t>hitesh.k@osmosys.co</t>
        </is>
      </c>
      <c r="D1875" t="inlineStr">
        <is>
          <t>incident-reporter</t>
        </is>
      </c>
      <c r="E1875">
        <f>HYPERLINK("http://gitlab.osmosys.co/incident-reporter/incident-reporter-angular-portal", "OQSHA Portal")</f>
        <v/>
      </c>
      <c r="F1875">
        <f>HYPERLINK("http://gitlab.osmosys.co/incident-reporter/incident-reporter-angular-portal/-/merge_requests/3652", "fix: fix hira date and radio button checks rendering")</f>
        <v/>
      </c>
      <c r="G1875" t="inlineStr">
        <is>
          <t>fix/fix-hira-grid-spacing</t>
        </is>
      </c>
      <c r="H1875" t="inlineStr">
        <is>
          <t>sprint-18</t>
        </is>
      </c>
      <c r="I1875" t="inlineStr">
        <is>
          <t>merged</t>
        </is>
      </c>
      <c r="J1875" t="inlineStr">
        <is>
          <t>7eefa4d03bb0c51bdf98b1e2bc45a4dc381dc62d</t>
        </is>
      </c>
      <c r="K1875">
        <f>HYPERLINK("http://gitlab.osmosys.co/incident-reporter/incident-reporter-angular-portal/-/merge_requests/3652#note_243898", "updated SS")</f>
        <v/>
      </c>
      <c r="L1875" t="inlineStr">
        <is>
          <t>2025-07-29 17:29:53.878 IST</t>
        </is>
      </c>
      <c r="M1875" t="inlineStr">
        <is>
          <t>Hitesh Kandpal</t>
        </is>
      </c>
      <c r="N1875" t="inlineStr">
        <is>
          <t>No</t>
        </is>
      </c>
      <c r="O1875" t="inlineStr">
        <is>
          <t>Yes</t>
        </is>
      </c>
      <c r="P1875" t="inlineStr">
        <is>
          <t>Soundariya B</t>
        </is>
      </c>
      <c r="Q1875" t="inlineStr">
        <is>
          <t>Bad</t>
        </is>
      </c>
    </row>
    <row r="1876">
      <c r="A1876" t="inlineStr">
        <is>
          <t>hitesh.k</t>
        </is>
      </c>
      <c r="B1876" t="inlineStr">
        <is>
          <t>Hitesh Kandpal</t>
        </is>
      </c>
      <c r="C1876" t="inlineStr">
        <is>
          <t>hitesh.k@osmosys.co</t>
        </is>
      </c>
      <c r="D1876" t="inlineStr">
        <is>
          <t>incident-reporter</t>
        </is>
      </c>
      <c r="E1876">
        <f>HYPERLINK("http://gitlab.osmosys.co/incident-reporter/incident-reporter-angular-portal", "OQSHA Portal")</f>
        <v/>
      </c>
      <c r="F1876">
        <f>HYPERLINK("http://gitlab.osmosys.co/incident-reporter/incident-reporter-angular-portal/-/merge_requests/3643", "fix: update styling to fix options and button postioning")</f>
        <v/>
      </c>
      <c r="G1876" t="inlineStr">
        <is>
          <t>fix/fix-pillar-ui</t>
        </is>
      </c>
      <c r="H1876" t="inlineStr">
        <is>
          <t>sprint-18</t>
        </is>
      </c>
      <c r="I1876" t="inlineStr">
        <is>
          <t>merged</t>
        </is>
      </c>
      <c r="J1876" t="inlineStr"/>
      <c r="K1876" t="inlineStr"/>
      <c r="L1876" t="inlineStr"/>
      <c r="M1876" t="inlineStr"/>
      <c r="N1876" t="inlineStr"/>
      <c r="O1876" t="inlineStr"/>
      <c r="P1876" t="inlineStr"/>
      <c r="Q1876" t="inlineStr"/>
    </row>
    <row r="1877">
      <c r="A1877" t="inlineStr">
        <is>
          <t>hitesh.k</t>
        </is>
      </c>
      <c r="B1877" t="inlineStr">
        <is>
          <t>Hitesh Kandpal</t>
        </is>
      </c>
      <c r="C1877" t="inlineStr">
        <is>
          <t>hitesh.k@osmosys.co</t>
        </is>
      </c>
      <c r="D1877" t="inlineStr">
        <is>
          <t>incident-reporter</t>
        </is>
      </c>
      <c r="E1877">
        <f>HYPERLINK("http://gitlab.osmosys.co/incident-reporter/incident-reporter-angular-portal", "OQSHA Portal")</f>
        <v/>
      </c>
      <c r="F1877">
        <f>HYPERLINK("http://gitlab.osmosys.co/incident-reporter/incident-reporter-angular-portal/-/merge_requests/3639", "fix: fix checkbox sync between grid and accordion")</f>
        <v/>
      </c>
      <c r="G1877" t="inlineStr">
        <is>
          <t>fix/fix-hira-issues</t>
        </is>
      </c>
      <c r="H1877" t="inlineStr">
        <is>
          <t>sprint-18</t>
        </is>
      </c>
      <c r="I1877" t="inlineStr">
        <is>
          <t>merged</t>
        </is>
      </c>
      <c r="J1877" t="inlineStr">
        <is>
          <t>3095445735268d78f2d18a7ebf62096f8d569697</t>
        </is>
      </c>
      <c r="K1877">
        <f>HYPERLINK("http://gitlab.osmosys.co/incident-reporter/incident-reporter-angular-portal/-/merge_requests/3639#note_243636", "Here checking for 0 and assigning for 0 - is this makes sense?")</f>
        <v/>
      </c>
      <c r="L1877" t="inlineStr">
        <is>
          <t>2025-07-29 12:59:37.877 IST</t>
        </is>
      </c>
      <c r="M1877" t="inlineStr">
        <is>
          <t>Soundariya B</t>
        </is>
      </c>
      <c r="N1877" t="inlineStr">
        <is>
          <t>Yes</t>
        </is>
      </c>
      <c r="O1877" t="inlineStr">
        <is>
          <t>Yes</t>
        </is>
      </c>
      <c r="P1877" t="inlineStr">
        <is>
          <t>Soundariya B</t>
        </is>
      </c>
      <c r="Q1877" t="inlineStr">
        <is>
          <t>Bad</t>
        </is>
      </c>
    </row>
    <row r="1878">
      <c r="A1878" t="inlineStr">
        <is>
          <t>hitesh.k</t>
        </is>
      </c>
      <c r="B1878" t="inlineStr">
        <is>
          <t>Hitesh Kandpal</t>
        </is>
      </c>
      <c r="C1878" t="inlineStr">
        <is>
          <t>hitesh.k@osmosys.co</t>
        </is>
      </c>
      <c r="D1878" t="inlineStr">
        <is>
          <t>incident-reporter</t>
        </is>
      </c>
      <c r="E1878">
        <f>HYPERLINK("http://gitlab.osmosys.co/incident-reporter/incident-reporter-angular-portal", "OQSHA Portal")</f>
        <v/>
      </c>
      <c r="F1878">
        <f>HYPERLINK("http://gitlab.osmosys.co/incident-reporter/incident-reporter-angular-portal/-/merge_requests/3639", "fix: fix checkbox sync between grid and accordion")</f>
        <v/>
      </c>
      <c r="G1878" t="inlineStr">
        <is>
          <t>fix/fix-hira-issues</t>
        </is>
      </c>
      <c r="H1878" t="inlineStr">
        <is>
          <t>sprint-18</t>
        </is>
      </c>
      <c r="I1878" t="inlineStr">
        <is>
          <t>merged</t>
        </is>
      </c>
      <c r="J1878" t="inlineStr">
        <is>
          <t>3095445735268d78f2d18a7ebf62096f8d569697</t>
        </is>
      </c>
      <c r="K1878">
        <f>HYPERLINK("http://gitlab.osmosys.co/incident-reporter/incident-reporter-angular-portal/-/merge_requests/3639#note_243641", "removed redundant code")</f>
        <v/>
      </c>
      <c r="L1878" t="inlineStr">
        <is>
          <t>2025-07-29 13:03:31.391 IST</t>
        </is>
      </c>
      <c r="M1878" t="inlineStr">
        <is>
          <t>Hitesh Kandpal</t>
        </is>
      </c>
      <c r="N1878" t="inlineStr">
        <is>
          <t>No</t>
        </is>
      </c>
      <c r="O1878" t="inlineStr">
        <is>
          <t>Yes</t>
        </is>
      </c>
      <c r="P1878" t="inlineStr">
        <is>
          <t>Soundariya B</t>
        </is>
      </c>
      <c r="Q1878" t="inlineStr">
        <is>
          <t>Bad</t>
        </is>
      </c>
    </row>
    <row r="1879">
      <c r="A1879" t="inlineStr">
        <is>
          <t>hitesh.k</t>
        </is>
      </c>
      <c r="B1879" t="inlineStr">
        <is>
          <t>Hitesh Kandpal</t>
        </is>
      </c>
      <c r="C1879" t="inlineStr">
        <is>
          <t>hitesh.k@osmosys.co</t>
        </is>
      </c>
      <c r="D1879" t="inlineStr">
        <is>
          <t>incident-reporter</t>
        </is>
      </c>
      <c r="E1879">
        <f>HYPERLINK("http://gitlab.osmosys.co/incident-reporter/incident-reporter-angular-portal", "OQSHA Portal")</f>
        <v/>
      </c>
      <c r="F1879">
        <f>HYPERLINK("http://gitlab.osmosys.co/incident-reporter/incident-reporter-angular-portal/-/merge_requests/3636", "fix: fix moc checks button positioning")</f>
        <v/>
      </c>
      <c r="G1879" t="inlineStr">
        <is>
          <t>fix/fix-moc-buttons</t>
        </is>
      </c>
      <c r="H1879" t="inlineStr">
        <is>
          <t>sprint-19</t>
        </is>
      </c>
      <c r="I1879" t="inlineStr">
        <is>
          <t>merged</t>
        </is>
      </c>
      <c r="J1879" t="inlineStr">
        <is>
          <t>d706533f29ca4bccdb468eb313335243e08de650</t>
        </is>
      </c>
      <c r="K1879">
        <f>HYPERLINK("http://gitlab.osmosys.co/incident-reporter/incident-reporter-angular-portal/-/merge_requests/3636#note_244021", "Can you add the screenshot and match with this bug SS like here + btn is out of the section when checktype is dynamic radio btn and also to add the multiple checks for the section
![image.png](/uploads/36ffedecfd5f2fe4d548e45ebcc7080d/image.png)")</f>
        <v/>
      </c>
      <c r="L1879" t="inlineStr">
        <is>
          <t>2025-07-29 21:27:13.062 IST</t>
        </is>
      </c>
      <c r="M1879" t="inlineStr">
        <is>
          <t>Soundariya B</t>
        </is>
      </c>
      <c r="N1879" t="inlineStr">
        <is>
          <t>Yes</t>
        </is>
      </c>
      <c r="O1879" t="inlineStr">
        <is>
          <t>Yes</t>
        </is>
      </c>
      <c r="P1879" t="inlineStr">
        <is>
          <t>Soundariya B</t>
        </is>
      </c>
      <c r="Q1879" t="inlineStr">
        <is>
          <t>Neutral</t>
        </is>
      </c>
    </row>
    <row r="1880">
      <c r="A1880" t="inlineStr">
        <is>
          <t>hitesh.k</t>
        </is>
      </c>
      <c r="B1880" t="inlineStr">
        <is>
          <t>Hitesh Kandpal</t>
        </is>
      </c>
      <c r="C1880" t="inlineStr">
        <is>
          <t>hitesh.k@osmosys.co</t>
        </is>
      </c>
      <c r="D1880" t="inlineStr">
        <is>
          <t>incident-reporter</t>
        </is>
      </c>
      <c r="E1880">
        <f>HYPERLINK("http://gitlab.osmosys.co/incident-reporter/incident-reporter-angular-portal", "OQSHA Portal")</f>
        <v/>
      </c>
      <c r="F1880">
        <f>HYPERLINK("http://gitlab.osmosys.co/incident-reporter/incident-reporter-angular-portal/-/merge_requests/3636", "fix: fix moc checks button positioning")</f>
        <v/>
      </c>
      <c r="G1880" t="inlineStr">
        <is>
          <t>fix/fix-moc-buttons</t>
        </is>
      </c>
      <c r="H1880" t="inlineStr">
        <is>
          <t>sprint-19</t>
        </is>
      </c>
      <c r="I1880" t="inlineStr">
        <is>
          <t>merged</t>
        </is>
      </c>
      <c r="J1880" t="inlineStr">
        <is>
          <t>d706533f29ca4bccdb468eb313335243e08de650</t>
        </is>
      </c>
      <c r="K1880">
        <f>HYPERLINK("http://gitlab.osmosys.co/incident-reporter/incident-reporter-angular-portal/-/merge_requests/3636#note_244031", "![Screenshot_2025-07-29_at_9.49.00_PM](/uploads/b6d745f1f402d62b010431f1284200fe/Screenshot_2025-07-29_at_9.49.00_PM.png)")</f>
        <v/>
      </c>
      <c r="L1880" t="inlineStr">
        <is>
          <t>2025-07-29 21:49:41.792 IST</t>
        </is>
      </c>
      <c r="M1880" t="inlineStr">
        <is>
          <t>Hitesh Kandpal</t>
        </is>
      </c>
      <c r="N1880" t="inlineStr">
        <is>
          <t>No</t>
        </is>
      </c>
      <c r="O1880" t="inlineStr">
        <is>
          <t>Yes</t>
        </is>
      </c>
      <c r="P1880" t="inlineStr">
        <is>
          <t>Soundariya B</t>
        </is>
      </c>
      <c r="Q1880" t="inlineStr">
        <is>
          <t>Neutral</t>
        </is>
      </c>
    </row>
    <row r="1881">
      <c r="A1881" t="inlineStr">
        <is>
          <t>hitesh.k</t>
        </is>
      </c>
      <c r="B1881" t="inlineStr">
        <is>
          <t>Hitesh Kandpal</t>
        </is>
      </c>
      <c r="C1881" t="inlineStr">
        <is>
          <t>hitesh.k@osmosys.co</t>
        </is>
      </c>
      <c r="D1881" t="inlineStr">
        <is>
          <t>incident-reporter</t>
        </is>
      </c>
      <c r="E1881">
        <f>HYPERLINK("http://gitlab.osmosys.co/incident-reporter/incident-reporter-angular-portal", "OQSHA Portal")</f>
        <v/>
      </c>
      <c r="F1881">
        <f>HYPERLINK("http://gitlab.osmosys.co/incident-reporter/incident-reporter-angular-portal/-/merge_requests/3636", "fix: fix moc checks button positioning")</f>
        <v/>
      </c>
      <c r="G1881" t="inlineStr">
        <is>
          <t>fix/fix-moc-buttons</t>
        </is>
      </c>
      <c r="H1881" t="inlineStr">
        <is>
          <t>sprint-19</t>
        </is>
      </c>
      <c r="I1881" t="inlineStr">
        <is>
          <t>merged</t>
        </is>
      </c>
      <c r="J1881" t="inlineStr">
        <is>
          <t>e7268293ee790e2b27da675871fee3853405f235</t>
        </is>
      </c>
      <c r="K1881">
        <f>HYPERLINK("http://gitlab.osmosys.co/incident-reporter/incident-reporter-angular-portal/-/merge_requests/3636#note_244022", "Can you justify here and in the task comment - why these bugs are not fixed in this PR? Or I can expect next PRs for these?
![image.png](/uploads/81471c3544f5e0b83fad8bedca571659/image.png)")</f>
        <v/>
      </c>
      <c r="L1881" t="inlineStr">
        <is>
          <t>2025-07-29 21:27:13.106 IST</t>
        </is>
      </c>
      <c r="M1881" t="inlineStr">
        <is>
          <t>Soundariya B</t>
        </is>
      </c>
      <c r="N1881" t="inlineStr">
        <is>
          <t>Yes</t>
        </is>
      </c>
      <c r="O1881" t="inlineStr">
        <is>
          <t>Yes</t>
        </is>
      </c>
      <c r="P1881" t="inlineStr">
        <is>
          <t>Soundariya B</t>
        </is>
      </c>
      <c r="Q1881" t="inlineStr">
        <is>
          <t>Neutral</t>
        </is>
      </c>
    </row>
    <row r="1882">
      <c r="A1882" t="inlineStr">
        <is>
          <t>hitesh.k</t>
        </is>
      </c>
      <c r="B1882" t="inlineStr">
        <is>
          <t>Hitesh Kandpal</t>
        </is>
      </c>
      <c r="C1882" t="inlineStr">
        <is>
          <t>hitesh.k@osmosys.co</t>
        </is>
      </c>
      <c r="D1882" t="inlineStr">
        <is>
          <t>incident-reporter</t>
        </is>
      </c>
      <c r="E1882">
        <f>HYPERLINK("http://gitlab.osmosys.co/incident-reporter/incident-reporter-angular-portal", "OQSHA Portal")</f>
        <v/>
      </c>
      <c r="F1882">
        <f>HYPERLINK("http://gitlab.osmosys.co/incident-reporter/incident-reporter-angular-portal/-/merge_requests/3636", "fix: fix moc checks button positioning")</f>
        <v/>
      </c>
      <c r="G1882" t="inlineStr">
        <is>
          <t>fix/fix-moc-buttons</t>
        </is>
      </c>
      <c r="H1882" t="inlineStr">
        <is>
          <t>sprint-19</t>
        </is>
      </c>
      <c r="I1882" t="inlineStr">
        <is>
          <t>merged</t>
        </is>
      </c>
      <c r="J1882" t="inlineStr">
        <is>
          <t>e7268293ee790e2b27da675871fee3853405f235</t>
        </is>
      </c>
      <c r="K1882">
        <f>HYPERLINK("http://gitlab.osmosys.co/incident-reporter/incident-reporter-angular-portal/-/merge_requests/3636#note_244030", "these are not related to moc category, QA mentioned these bugs but they are from moc main page and not in scope of this task, mentioning the same in task comment")</f>
        <v/>
      </c>
      <c r="L1882" t="inlineStr">
        <is>
          <t>2025-07-29 21:47:10.200 IST</t>
        </is>
      </c>
      <c r="M1882" t="inlineStr">
        <is>
          <t>Hitesh Kandpal</t>
        </is>
      </c>
      <c r="N1882" t="inlineStr">
        <is>
          <t>No</t>
        </is>
      </c>
      <c r="O1882" t="inlineStr">
        <is>
          <t>Yes</t>
        </is>
      </c>
      <c r="P1882" t="inlineStr">
        <is>
          <t>Soundariya B</t>
        </is>
      </c>
      <c r="Q1882" t="inlineStr">
        <is>
          <t>Neutral</t>
        </is>
      </c>
    </row>
    <row r="1883">
      <c r="A1883" t="inlineStr">
        <is>
          <t>hitesh.k</t>
        </is>
      </c>
      <c r="B1883" t="inlineStr">
        <is>
          <t>Hitesh Kandpal</t>
        </is>
      </c>
      <c r="C1883" t="inlineStr">
        <is>
          <t>hitesh.k@osmosys.co</t>
        </is>
      </c>
      <c r="D1883" t="inlineStr">
        <is>
          <t>incident-reporter</t>
        </is>
      </c>
      <c r="E1883">
        <f>HYPERLINK("http://gitlab.osmosys.co/incident-reporter/incident-reporter-angular-portal", "OQSHA Portal")</f>
        <v/>
      </c>
      <c r="F1883">
        <f>HYPERLINK("http://gitlab.osmosys.co/incident-reporter/incident-reporter-angular-portal/-/merge_requests/3636", "fix: fix moc checks button positioning")</f>
        <v/>
      </c>
      <c r="G1883" t="inlineStr">
        <is>
          <t>fix/fix-moc-buttons</t>
        </is>
      </c>
      <c r="H1883" t="inlineStr">
        <is>
          <t>sprint-19</t>
        </is>
      </c>
      <c r="I1883" t="inlineStr">
        <is>
          <t>merged</t>
        </is>
      </c>
      <c r="J1883" t="inlineStr">
        <is>
          <t>e7268293ee790e2b27da675871fee3853405f235</t>
        </is>
      </c>
      <c r="K1883">
        <f>HYPERLINK("http://gitlab.osmosys.co/incident-reporter/incident-reporter-angular-portal/-/merge_requests/3636#note_244082", "[Issue-2 image](https://pinestem.com/api/AttachedFiles%5C7831e0a8-0530-411c-84f3-9ed6c675e353.png?download=false&amp;fileName=UI%20-%20Change%20it%20to%20section%20name%20when%20section%20UI%20is%20closed..png)
What about issue 2, which is from the MOC category, right?
Justified your comment that all other issues are not part of this task, but did you inform them to create these issues from 3 to 6 in separate bugs for the respective tasks?")</f>
        <v/>
      </c>
      <c r="L1883" t="inlineStr">
        <is>
          <t>2025-07-30 11:05:27.189 IST</t>
        </is>
      </c>
      <c r="M1883" t="inlineStr">
        <is>
          <t>Soundariya B</t>
        </is>
      </c>
      <c r="N1883" t="inlineStr">
        <is>
          <t>Yes</t>
        </is>
      </c>
      <c r="O1883" t="inlineStr">
        <is>
          <t>Yes</t>
        </is>
      </c>
      <c r="P1883" t="inlineStr">
        <is>
          <t>Soundariya B</t>
        </is>
      </c>
      <c r="Q1883" t="inlineStr">
        <is>
          <t>Neutral</t>
        </is>
      </c>
    </row>
    <row r="1884">
      <c r="A1884" t="inlineStr">
        <is>
          <t>hitesh.k</t>
        </is>
      </c>
      <c r="B1884" t="inlineStr">
        <is>
          <t>Hitesh Kandpal</t>
        </is>
      </c>
      <c r="C1884" t="inlineStr">
        <is>
          <t>hitesh.k@osmosys.co</t>
        </is>
      </c>
      <c r="D1884" t="inlineStr">
        <is>
          <t>incident-reporter</t>
        </is>
      </c>
      <c r="E1884">
        <f>HYPERLINK("http://gitlab.osmosys.co/incident-reporter/incident-reporter-angular-portal", "OQSHA Portal")</f>
        <v/>
      </c>
      <c r="F1884">
        <f>HYPERLINK("http://gitlab.osmosys.co/incident-reporter/incident-reporter-angular-portal/-/merge_requests/3636", "fix: fix moc checks button positioning")</f>
        <v/>
      </c>
      <c r="G1884" t="inlineStr">
        <is>
          <t>fix/fix-moc-buttons</t>
        </is>
      </c>
      <c r="H1884" t="inlineStr">
        <is>
          <t>sprint-19</t>
        </is>
      </c>
      <c r="I1884" t="inlineStr">
        <is>
          <t>merged</t>
        </is>
      </c>
      <c r="J1884" t="inlineStr">
        <is>
          <t>e7268293ee790e2b27da675871fee3853405f235</t>
        </is>
      </c>
      <c r="K1884">
        <f>HYPERLINK("http://gitlab.osmosys.co/incident-reporter/incident-reporter-angular-portal/-/merge_requests/3636#note_244499", "no that's not an issue, that's a suggestion by QA, but we don't want it to be like that
for other issues I told qa already it's not related to this task")</f>
        <v/>
      </c>
      <c r="L1884" t="inlineStr">
        <is>
          <t>2025-07-30 19:37:06.015 IST</t>
        </is>
      </c>
      <c r="M1884" t="inlineStr">
        <is>
          <t>Hitesh Kandpal</t>
        </is>
      </c>
      <c r="N1884" t="inlineStr">
        <is>
          <t>No</t>
        </is>
      </c>
      <c r="O1884" t="inlineStr">
        <is>
          <t>Yes</t>
        </is>
      </c>
      <c r="P1884" t="inlineStr">
        <is>
          <t>Soundariya B</t>
        </is>
      </c>
      <c r="Q1884" t="inlineStr">
        <is>
          <t>Neutral</t>
        </is>
      </c>
    </row>
    <row r="1885">
      <c r="A1885" t="inlineStr">
        <is>
          <t>hitesh.k</t>
        </is>
      </c>
      <c r="B1885" t="inlineStr">
        <is>
          <t>Hitesh Kandpal</t>
        </is>
      </c>
      <c r="C1885" t="inlineStr">
        <is>
          <t>hitesh.k@osmosys.co</t>
        </is>
      </c>
      <c r="D1885" t="inlineStr">
        <is>
          <t>incident-reporter</t>
        </is>
      </c>
      <c r="E1885">
        <f>HYPERLINK("http://gitlab.osmosys.co/incident-reporter/incident-reporter-angular-portal", "OQSHA Portal")</f>
        <v/>
      </c>
      <c r="F1885">
        <f>HYPERLINK("http://gitlab.osmosys.co/incident-reporter/incident-reporter-angular-portal/-/merge_requests/3631", "fix: change ui for hira details page")</f>
        <v/>
      </c>
      <c r="G1885" t="inlineStr">
        <is>
          <t>fix/optimise-grid-checks</t>
        </is>
      </c>
      <c r="H1885" t="inlineStr">
        <is>
          <t>sprint-18</t>
        </is>
      </c>
      <c r="I1885" t="inlineStr">
        <is>
          <t>merged</t>
        </is>
      </c>
      <c r="J1885" t="inlineStr"/>
      <c r="K1885" t="inlineStr"/>
      <c r="L1885" t="inlineStr"/>
      <c r="M1885" t="inlineStr"/>
      <c r="N1885" t="inlineStr"/>
      <c r="O1885" t="inlineStr"/>
      <c r="P1885" t="inlineStr"/>
      <c r="Q1885" t="inlineStr"/>
    </row>
    <row r="1886">
      <c r="A1886" t="inlineStr">
        <is>
          <t>hitesh.k</t>
        </is>
      </c>
      <c r="B1886" t="inlineStr">
        <is>
          <t>Hitesh Kandpal</t>
        </is>
      </c>
      <c r="C1886" t="inlineStr">
        <is>
          <t>hitesh.k@osmosys.co</t>
        </is>
      </c>
      <c r="D1886" t="inlineStr">
        <is>
          <t>incident-reporter</t>
        </is>
      </c>
      <c r="E1886">
        <f>HYPERLINK("http://gitlab.osmosys.co/incident-reporter/incident-reporter-angular-portal", "OQSHA Portal")</f>
        <v/>
      </c>
      <c r="F1886">
        <f>HYPERLINK("http://gitlab.osmosys.co/incident-reporter/incident-reporter-angular-portal/-/merge_requests/3622", "fix: add only one option once check have been initialized")</f>
        <v/>
      </c>
      <c r="G1886" t="inlineStr">
        <is>
          <t>fix/fix-options</t>
        </is>
      </c>
      <c r="H1886" t="inlineStr">
        <is>
          <t>sprint-18</t>
        </is>
      </c>
      <c r="I1886" t="inlineStr">
        <is>
          <t>merged</t>
        </is>
      </c>
      <c r="J1886" t="inlineStr"/>
      <c r="K1886" t="inlineStr"/>
      <c r="L1886" t="inlineStr"/>
      <c r="M1886" t="inlineStr"/>
      <c r="N1886" t="inlineStr"/>
      <c r="O1886" t="inlineStr"/>
      <c r="P1886" t="inlineStr"/>
      <c r="Q1886" t="inlineStr"/>
    </row>
    <row r="1887">
      <c r="A1887" t="inlineStr">
        <is>
          <t>hitesh.k</t>
        </is>
      </c>
      <c r="B1887" t="inlineStr">
        <is>
          <t>Hitesh Kandpal</t>
        </is>
      </c>
      <c r="C1887" t="inlineStr">
        <is>
          <t>hitesh.k@osmosys.co</t>
        </is>
      </c>
      <c r="D1887" t="inlineStr">
        <is>
          <t>incident-reporter</t>
        </is>
      </c>
      <c r="E1887">
        <f>HYPERLINK("http://gitlab.osmosys.co/incident-reporter/incident-reporter-angular-portal", "OQSHA Portal")</f>
        <v/>
      </c>
      <c r="F1887">
        <f>HYPERLINK("http://gitlab.osmosys.co/incident-reporter/incident-reporter-angular-portal/-/merge_requests/3614", "fix: fix add and update functionality for hira activities")</f>
        <v/>
      </c>
      <c r="G1887" t="inlineStr">
        <is>
          <t>fix/add-hira-features</t>
        </is>
      </c>
      <c r="H1887" t="inlineStr">
        <is>
          <t>sprint-18</t>
        </is>
      </c>
      <c r="I1887" t="inlineStr">
        <is>
          <t>merged</t>
        </is>
      </c>
      <c r="J1887" t="inlineStr"/>
      <c r="K1887" t="inlineStr"/>
      <c r="L1887" t="inlineStr"/>
      <c r="M1887" t="inlineStr"/>
      <c r="N1887" t="inlineStr"/>
      <c r="O1887" t="inlineStr"/>
      <c r="P1887" t="inlineStr"/>
      <c r="Q1887" t="inlineStr"/>
    </row>
    <row r="1888">
      <c r="A1888" t="inlineStr">
        <is>
          <t>hitesh.k</t>
        </is>
      </c>
      <c r="B1888" t="inlineStr">
        <is>
          <t>Hitesh Kandpal</t>
        </is>
      </c>
      <c r="C1888" t="inlineStr">
        <is>
          <t>hitesh.k@osmosys.co</t>
        </is>
      </c>
      <c r="D1888" t="inlineStr">
        <is>
          <t>incident-reporter</t>
        </is>
      </c>
      <c r="E1888">
        <f>HYPERLINK("http://gitlab.osmosys.co/incident-reporter/incident-reporter-angular-portal", "OQSHA Portal")</f>
        <v/>
      </c>
      <c r="F1888">
        <f>HYPERLINK("http://gitlab.osmosys.co/incident-reporter/incident-reporter-angular-portal/-/merge_requests/3612", "fix: fix multiple hira aligments and issues")</f>
        <v/>
      </c>
      <c r="G1888" t="inlineStr">
        <is>
          <t>fix/hira-ui</t>
        </is>
      </c>
      <c r="H1888" t="inlineStr">
        <is>
          <t>sprint-18</t>
        </is>
      </c>
      <c r="I1888" t="inlineStr">
        <is>
          <t>merged</t>
        </is>
      </c>
      <c r="J1888" t="inlineStr"/>
      <c r="K1888" t="inlineStr"/>
      <c r="L1888" t="inlineStr"/>
      <c r="M1888" t="inlineStr"/>
      <c r="N1888" t="inlineStr"/>
      <c r="O1888" t="inlineStr"/>
      <c r="P1888" t="inlineStr"/>
      <c r="Q1888" t="inlineStr"/>
    </row>
    <row r="1889">
      <c r="A1889" t="inlineStr">
        <is>
          <t>hitesh.k</t>
        </is>
      </c>
      <c r="B1889" t="inlineStr">
        <is>
          <t>Hitesh Kandpal</t>
        </is>
      </c>
      <c r="C1889" t="inlineStr">
        <is>
          <t>hitesh.k@osmosys.co</t>
        </is>
      </c>
      <c r="D1889" t="inlineStr">
        <is>
          <t>incident-reporter</t>
        </is>
      </c>
      <c r="E1889">
        <f>HYPERLINK("http://gitlab.osmosys.co/incident-reporter/incident-reporter-angular-portal", "OQSHA Portal")</f>
        <v/>
      </c>
      <c r="F1889">
        <f>HYPERLINK("http://gitlab.osmosys.co/incident-reporter/incident-reporter-angular-portal/-/merge_requests/3592", "feat: handle standalone checks rendering")</f>
        <v/>
      </c>
      <c r="G1889" t="inlineStr">
        <is>
          <t>feat/render-standalone-checks</t>
        </is>
      </c>
      <c r="H1889" t="inlineStr">
        <is>
          <t>sprint-18</t>
        </is>
      </c>
      <c r="I1889" t="inlineStr">
        <is>
          <t>merged</t>
        </is>
      </c>
      <c r="J1889" t="inlineStr">
        <is>
          <t>e2b1845a75bcb5457278b729acad4a64b833a830</t>
        </is>
      </c>
      <c r="K1889">
        <f>HYPERLINK("http://gitlab.osmosys.co/incident-reporter/incident-reporter-angular-portal/-/merge_requests/3592#note_242090", "Check all the checkbox and radio button alignments its not properly aligned like labels going up and radio button look very bad like uneven space btw radio btn and label")</f>
        <v/>
      </c>
      <c r="L1889" t="inlineStr">
        <is>
          <t>2025-07-25 19:59:34.948 IST</t>
        </is>
      </c>
      <c r="M1889" t="inlineStr">
        <is>
          <t>Soundariya B</t>
        </is>
      </c>
      <c r="N1889" t="inlineStr">
        <is>
          <t>Yes</t>
        </is>
      </c>
      <c r="O1889" t="inlineStr">
        <is>
          <t>Yes</t>
        </is>
      </c>
      <c r="P1889" t="inlineStr">
        <is>
          <t>Raj Kumar</t>
        </is>
      </c>
      <c r="Q1889" t="inlineStr">
        <is>
          <t>Neutral</t>
        </is>
      </c>
    </row>
    <row r="1890">
      <c r="A1890" t="inlineStr">
        <is>
          <t>hitesh.k</t>
        </is>
      </c>
      <c r="B1890" t="inlineStr">
        <is>
          <t>Hitesh Kandpal</t>
        </is>
      </c>
      <c r="C1890" t="inlineStr">
        <is>
          <t>hitesh.k@osmosys.co</t>
        </is>
      </c>
      <c r="D1890" t="inlineStr">
        <is>
          <t>incident-reporter</t>
        </is>
      </c>
      <c r="E1890">
        <f>HYPERLINK("http://gitlab.osmosys.co/incident-reporter/incident-reporter-angular-portal", "OQSHA Portal")</f>
        <v/>
      </c>
      <c r="F1890">
        <f>HYPERLINK("http://gitlab.osmosys.co/incident-reporter/incident-reporter-angular-portal/-/merge_requests/3592", "feat: handle standalone checks rendering")</f>
        <v/>
      </c>
      <c r="G1890" t="inlineStr">
        <is>
          <t>feat/render-standalone-checks</t>
        </is>
      </c>
      <c r="H1890" t="inlineStr">
        <is>
          <t>sprint-18</t>
        </is>
      </c>
      <c r="I1890" t="inlineStr">
        <is>
          <t>merged</t>
        </is>
      </c>
      <c r="J1890" t="inlineStr">
        <is>
          <t>e2b1845a75bcb5457278b729acad4a64b833a830</t>
        </is>
      </c>
      <c r="K1890">
        <f>HYPERLINK("http://gitlab.osmosys.co/incident-reporter/incident-reporter-angular-portal/-/merge_requests/3592#note_242113", "i didn't do any styling change, i just added few lines in html to make sure standalone checks get rendered, fixing the whole section is not in scope of this task, logic and styling is same as before")</f>
        <v/>
      </c>
      <c r="L1890" t="inlineStr">
        <is>
          <t>2025-07-25 20:28:28.892 IST</t>
        </is>
      </c>
      <c r="M1890" t="inlineStr">
        <is>
          <t>Hitesh Kandpal</t>
        </is>
      </c>
      <c r="N1890" t="inlineStr">
        <is>
          <t>No</t>
        </is>
      </c>
      <c r="O1890" t="inlineStr">
        <is>
          <t>Yes</t>
        </is>
      </c>
      <c r="P1890" t="inlineStr">
        <is>
          <t>Raj Kumar</t>
        </is>
      </c>
      <c r="Q1890" t="inlineStr">
        <is>
          <t>Neutral</t>
        </is>
      </c>
    </row>
    <row r="1891">
      <c r="A1891" t="inlineStr">
        <is>
          <t>hitesh.k</t>
        </is>
      </c>
      <c r="B1891" t="inlineStr">
        <is>
          <t>Hitesh Kandpal</t>
        </is>
      </c>
      <c r="C1891" t="inlineStr">
        <is>
          <t>hitesh.k@osmosys.co</t>
        </is>
      </c>
      <c r="D1891" t="inlineStr">
        <is>
          <t>incident-reporter</t>
        </is>
      </c>
      <c r="E1891">
        <f>HYPERLINK("http://gitlab.osmosys.co/incident-reporter/incident-reporter-angular-portal", "OQSHA Portal")</f>
        <v/>
      </c>
      <c r="F1891">
        <f>HYPERLINK("http://gitlab.osmosys.co/incident-reporter/incident-reporter-angular-portal/-/merge_requests/3592", "feat: handle standalone checks rendering")</f>
        <v/>
      </c>
      <c r="G1891" t="inlineStr">
        <is>
          <t>feat/render-standalone-checks</t>
        </is>
      </c>
      <c r="H1891" t="inlineStr">
        <is>
          <t>sprint-18</t>
        </is>
      </c>
      <c r="I1891" t="inlineStr">
        <is>
          <t>merged</t>
        </is>
      </c>
      <c r="J1891" t="inlineStr">
        <is>
          <t>e2b1845a75bcb5457278b729acad4a64b833a830</t>
        </is>
      </c>
      <c r="K1891">
        <f>HYPERLINK("http://gitlab.osmosys.co/incident-reporter/incident-reporter-angular-portal/-/merge_requests/3592#note_242381", "ok resolving.")</f>
        <v/>
      </c>
      <c r="L1891" t="inlineStr">
        <is>
          <t>2025-07-26 01:53:22.145 IST</t>
        </is>
      </c>
      <c r="M1891" t="inlineStr">
        <is>
          <t>Raj Kumar</t>
        </is>
      </c>
      <c r="N1891" t="inlineStr">
        <is>
          <t>Yes</t>
        </is>
      </c>
      <c r="O1891" t="inlineStr">
        <is>
          <t>Yes</t>
        </is>
      </c>
      <c r="P1891" t="inlineStr">
        <is>
          <t>Raj Kumar</t>
        </is>
      </c>
      <c r="Q1891" t="inlineStr">
        <is>
          <t>Neutral</t>
        </is>
      </c>
    </row>
    <row r="1892">
      <c r="A1892" t="inlineStr">
        <is>
          <t>hitesh.k</t>
        </is>
      </c>
      <c r="B1892" t="inlineStr">
        <is>
          <t>Hitesh Kandpal</t>
        </is>
      </c>
      <c r="C1892" t="inlineStr">
        <is>
          <t>hitesh.k@osmosys.co</t>
        </is>
      </c>
      <c r="D1892" t="inlineStr">
        <is>
          <t>incident-reporter</t>
        </is>
      </c>
      <c r="E1892">
        <f>HYPERLINK("http://gitlab.osmosys.co/incident-reporter/incident-reporter-angular-portal", "OQSHA Portal")</f>
        <v/>
      </c>
      <c r="F1892">
        <f>HYPERLINK("http://gitlab.osmosys.co/incident-reporter/incident-reporter-angular-portal/-/merge_requests/3592", "feat: handle standalone checks rendering")</f>
        <v/>
      </c>
      <c r="G1892" t="inlineStr">
        <is>
          <t>feat/render-standalone-checks</t>
        </is>
      </c>
      <c r="H1892" t="inlineStr">
        <is>
          <t>sprint-18</t>
        </is>
      </c>
      <c r="I1892" t="inlineStr">
        <is>
          <t>merged</t>
        </is>
      </c>
      <c r="J1892" t="inlineStr">
        <is>
          <t>8e816de1f693957490bdb80b568c01a82cde3948</t>
        </is>
      </c>
      <c r="K1892">
        <f>HYPERLINK("http://gitlab.osmosys.co/incident-reporter/incident-reporter-angular-portal/-/merge_requests/3592#note_242091", "Uneven spaces btw fields, and not in uniform the size of text box and select field please make it clear")</f>
        <v/>
      </c>
      <c r="L1892" t="inlineStr">
        <is>
          <t>2025-07-25 19:59:34.981 IST</t>
        </is>
      </c>
      <c r="M1892" t="inlineStr">
        <is>
          <t>Soundariya B</t>
        </is>
      </c>
      <c r="N1892" t="inlineStr">
        <is>
          <t>Yes</t>
        </is>
      </c>
      <c r="O1892" t="inlineStr">
        <is>
          <t>Yes</t>
        </is>
      </c>
      <c r="P1892" t="inlineStr">
        <is>
          <t>Raj Kumar</t>
        </is>
      </c>
      <c r="Q1892" t="inlineStr">
        <is>
          <t>Neutral</t>
        </is>
      </c>
    </row>
    <row r="1893">
      <c r="A1893" t="inlineStr">
        <is>
          <t>hitesh.k</t>
        </is>
      </c>
      <c r="B1893" t="inlineStr">
        <is>
          <t>Hitesh Kandpal</t>
        </is>
      </c>
      <c r="C1893" t="inlineStr">
        <is>
          <t>hitesh.k@osmosys.co</t>
        </is>
      </c>
      <c r="D1893" t="inlineStr">
        <is>
          <t>incident-reporter</t>
        </is>
      </c>
      <c r="E1893">
        <f>HYPERLINK("http://gitlab.osmosys.co/incident-reporter/incident-reporter-angular-portal", "OQSHA Portal")</f>
        <v/>
      </c>
      <c r="F1893">
        <f>HYPERLINK("http://gitlab.osmosys.co/incident-reporter/incident-reporter-angular-portal/-/merge_requests/3592", "feat: handle standalone checks rendering")</f>
        <v/>
      </c>
      <c r="G1893" t="inlineStr">
        <is>
          <t>feat/render-standalone-checks</t>
        </is>
      </c>
      <c r="H1893" t="inlineStr">
        <is>
          <t>sprint-18</t>
        </is>
      </c>
      <c r="I1893" t="inlineStr">
        <is>
          <t>merged</t>
        </is>
      </c>
      <c r="J1893" t="inlineStr">
        <is>
          <t>8e816de1f693957490bdb80b568c01a82cde3948</t>
        </is>
      </c>
      <c r="K1893">
        <f>HYPERLINK("http://gitlab.osmosys.co/incident-reporter/incident-reporter-angular-portal/-/merge_requests/3592#note_242112", "i didn't do any styling change, i just added few lines in html to make sure standalone checks get rendered, fixing the whole section is not in scope of this task logic and styling is same as before")</f>
        <v/>
      </c>
      <c r="L1893" t="inlineStr">
        <is>
          <t>2025-07-25 20:28:17.951 IST</t>
        </is>
      </c>
      <c r="M1893" t="inlineStr">
        <is>
          <t>Hitesh Kandpal</t>
        </is>
      </c>
      <c r="N1893" t="inlineStr">
        <is>
          <t>No</t>
        </is>
      </c>
      <c r="O1893" t="inlineStr">
        <is>
          <t>Yes</t>
        </is>
      </c>
      <c r="P1893" t="inlineStr">
        <is>
          <t>Raj Kumar</t>
        </is>
      </c>
      <c r="Q1893" t="inlineStr">
        <is>
          <t>Neutral</t>
        </is>
      </c>
    </row>
    <row r="1894">
      <c r="A1894" t="inlineStr">
        <is>
          <t>hitesh.k</t>
        </is>
      </c>
      <c r="B1894" t="inlineStr">
        <is>
          <t>Hitesh Kandpal</t>
        </is>
      </c>
      <c r="C1894" t="inlineStr">
        <is>
          <t>hitesh.k@osmosys.co</t>
        </is>
      </c>
      <c r="D1894" t="inlineStr">
        <is>
          <t>incident-reporter</t>
        </is>
      </c>
      <c r="E1894">
        <f>HYPERLINK("http://gitlab.osmosys.co/incident-reporter/incident-reporter-angular-portal", "OQSHA Portal")</f>
        <v/>
      </c>
      <c r="F1894">
        <f>HYPERLINK("http://gitlab.osmosys.co/incident-reporter/incident-reporter-angular-portal/-/merge_requests/3592", "feat: handle standalone checks rendering")</f>
        <v/>
      </c>
      <c r="G1894" t="inlineStr">
        <is>
          <t>feat/render-standalone-checks</t>
        </is>
      </c>
      <c r="H1894" t="inlineStr">
        <is>
          <t>sprint-18</t>
        </is>
      </c>
      <c r="I1894" t="inlineStr">
        <is>
          <t>merged</t>
        </is>
      </c>
      <c r="J1894" t="inlineStr">
        <is>
          <t>8e816de1f693957490bdb80b568c01a82cde3948</t>
        </is>
      </c>
      <c r="K1894">
        <f>HYPERLINK("http://gitlab.osmosys.co/incident-reporter/incident-reporter-angular-portal/-/merge_requests/3592#note_242382", "ok resolving.")</f>
        <v/>
      </c>
      <c r="L1894" t="inlineStr">
        <is>
          <t>2025-07-26 01:53:31.758 IST</t>
        </is>
      </c>
      <c r="M1894" t="inlineStr">
        <is>
          <t>Raj Kumar</t>
        </is>
      </c>
      <c r="N1894" t="inlineStr">
        <is>
          <t>Yes</t>
        </is>
      </c>
      <c r="O1894" t="inlineStr">
        <is>
          <t>Yes</t>
        </is>
      </c>
      <c r="P1894" t="inlineStr">
        <is>
          <t>Raj Kumar</t>
        </is>
      </c>
      <c r="Q1894" t="inlineStr">
        <is>
          <t>Neutral</t>
        </is>
      </c>
    </row>
    <row r="1895">
      <c r="A1895" t="inlineStr">
        <is>
          <t>hitesh.k</t>
        </is>
      </c>
      <c r="B1895" t="inlineStr">
        <is>
          <t>Hitesh Kandpal</t>
        </is>
      </c>
      <c r="C1895" t="inlineStr">
        <is>
          <t>hitesh.k@osmosys.co</t>
        </is>
      </c>
      <c r="D1895" t="inlineStr">
        <is>
          <t>incident-reporter</t>
        </is>
      </c>
      <c r="E1895">
        <f>HYPERLINK("http://gitlab.osmosys.co/incident-reporter/incident-reporter-angular-portal", "OQSHA Portal")</f>
        <v/>
      </c>
      <c r="F1895">
        <f>HYPERLINK("http://gitlab.osmosys.co/incident-reporter/incident-reporter-angular-portal/-/merge_requests/3592", "feat: handle standalone checks rendering")</f>
        <v/>
      </c>
      <c r="G1895" t="inlineStr">
        <is>
          <t>feat/render-standalone-checks</t>
        </is>
      </c>
      <c r="H1895" t="inlineStr">
        <is>
          <t>sprint-18</t>
        </is>
      </c>
      <c r="I1895" t="inlineStr">
        <is>
          <t>merged</t>
        </is>
      </c>
      <c r="J1895" t="inlineStr">
        <is>
          <t>3f93ebea9b233cca9ab58dadcbae4ba265ae2694</t>
        </is>
      </c>
      <c r="K1895">
        <f>HYPERLINK("http://gitlab.osmosys.co/incident-reporter/incident-reporter-angular-portal/-/merge_requests/3592#note_242092", "As its functional then test case and screenrecording must be attach")</f>
        <v/>
      </c>
      <c r="L1895" t="inlineStr">
        <is>
          <t>2025-07-25 19:59:35.008 IST</t>
        </is>
      </c>
      <c r="M1895" t="inlineStr">
        <is>
          <t>Soundariya B</t>
        </is>
      </c>
      <c r="N1895" t="inlineStr">
        <is>
          <t>Yes</t>
        </is>
      </c>
      <c r="O1895" t="inlineStr">
        <is>
          <t>Yes</t>
        </is>
      </c>
      <c r="P1895" t="inlineStr">
        <is>
          <t>Soundariya B</t>
        </is>
      </c>
      <c r="Q1895" t="inlineStr">
        <is>
          <t>Neutral</t>
        </is>
      </c>
    </row>
    <row r="1896">
      <c r="A1896" t="inlineStr">
        <is>
          <t>hitesh.k</t>
        </is>
      </c>
      <c r="B1896" t="inlineStr">
        <is>
          <t>Hitesh Kandpal</t>
        </is>
      </c>
      <c r="C1896" t="inlineStr">
        <is>
          <t>hitesh.k@osmosys.co</t>
        </is>
      </c>
      <c r="D1896" t="inlineStr">
        <is>
          <t>incident-reporter</t>
        </is>
      </c>
      <c r="E1896">
        <f>HYPERLINK("http://gitlab.osmosys.co/incident-reporter/incident-reporter-angular-portal", "OQSHA Portal")</f>
        <v/>
      </c>
      <c r="F1896">
        <f>HYPERLINK("http://gitlab.osmosys.co/incident-reporter/incident-reporter-angular-portal/-/merge_requests/3592", "feat: handle standalone checks rendering")</f>
        <v/>
      </c>
      <c r="G1896" t="inlineStr">
        <is>
          <t>feat/render-standalone-checks</t>
        </is>
      </c>
      <c r="H1896" t="inlineStr">
        <is>
          <t>sprint-18</t>
        </is>
      </c>
      <c r="I1896" t="inlineStr">
        <is>
          <t>merged</t>
        </is>
      </c>
      <c r="J1896" t="inlineStr">
        <is>
          <t>3f93ebea9b233cca9ab58dadcbae4ba265ae2694</t>
        </is>
      </c>
      <c r="K1896">
        <f>HYPERLINK("http://gitlab.osmosys.co/incident-reporter/incident-reporter-angular-portal/-/merge_requests/3592#note_242209", "nothing is functional here, i added screenshot for rendering the standalone section which gets rendered just like any other sections, every other logic is same")</f>
        <v/>
      </c>
      <c r="L1896" t="inlineStr">
        <is>
          <t>2025-07-25 22:15:09.873 IST</t>
        </is>
      </c>
      <c r="M1896" t="inlineStr">
        <is>
          <t>Hitesh Kandpal</t>
        </is>
      </c>
      <c r="N1896" t="inlineStr">
        <is>
          <t>No</t>
        </is>
      </c>
      <c r="O1896" t="inlineStr">
        <is>
          <t>Yes</t>
        </is>
      </c>
      <c r="P1896" t="inlineStr">
        <is>
          <t>Soundariya B</t>
        </is>
      </c>
      <c r="Q1896" t="inlineStr">
        <is>
          <t>Neutral</t>
        </is>
      </c>
    </row>
    <row r="1897">
      <c r="A1897" t="inlineStr">
        <is>
          <t>hitesh.k</t>
        </is>
      </c>
      <c r="B1897" t="inlineStr">
        <is>
          <t>Hitesh Kandpal</t>
        </is>
      </c>
      <c r="C1897" t="inlineStr">
        <is>
          <t>hitesh.k@osmosys.co</t>
        </is>
      </c>
      <c r="D1897" t="inlineStr">
        <is>
          <t>incident-reporter</t>
        </is>
      </c>
      <c r="E1897">
        <f>HYPERLINK("http://gitlab.osmosys.co/incident-reporter/incident-reporter-angular-portal", "OQSHA Portal")</f>
        <v/>
      </c>
      <c r="F1897">
        <f>HYPERLINK("http://gitlab.osmosys.co/incident-reporter/incident-reporter-angular-portal/-/merge_requests/3592", "feat: handle standalone checks rendering")</f>
        <v/>
      </c>
      <c r="G1897" t="inlineStr">
        <is>
          <t>feat/render-standalone-checks</t>
        </is>
      </c>
      <c r="H1897" t="inlineStr">
        <is>
          <t>sprint-18</t>
        </is>
      </c>
      <c r="I1897" t="inlineStr">
        <is>
          <t>merged</t>
        </is>
      </c>
      <c r="J1897" t="inlineStr">
        <is>
          <t>a513e29ae5f488f1655dc012feee565ade1ad447</t>
        </is>
      </c>
      <c r="K1897">
        <f>HYPERLINK("http://gitlab.osmosys.co/incident-reporter/incident-reporter-angular-portal/-/merge_requests/3592#note_242093", "Please don't use such variable which is meaningless like i and j, k, etc")</f>
        <v/>
      </c>
      <c r="L1897" t="inlineStr">
        <is>
          <t>2025-07-25 19:59:35.071 IST</t>
        </is>
      </c>
      <c r="M1897" t="inlineStr">
        <is>
          <t>Soundariya B</t>
        </is>
      </c>
      <c r="N1897" t="inlineStr">
        <is>
          <t>Yes</t>
        </is>
      </c>
      <c r="O1897" t="inlineStr">
        <is>
          <t>Yes</t>
        </is>
      </c>
      <c r="P1897" t="inlineStr">
        <is>
          <t>Raj Kumar</t>
        </is>
      </c>
      <c r="Q1897" t="inlineStr">
        <is>
          <t>Neutral</t>
        </is>
      </c>
    </row>
    <row r="1898">
      <c r="A1898" t="inlineStr">
        <is>
          <t>hitesh.k</t>
        </is>
      </c>
      <c r="B1898" t="inlineStr">
        <is>
          <t>Hitesh Kandpal</t>
        </is>
      </c>
      <c r="C1898" t="inlineStr">
        <is>
          <t>hitesh.k@osmosys.co</t>
        </is>
      </c>
      <c r="D1898" t="inlineStr">
        <is>
          <t>incident-reporter</t>
        </is>
      </c>
      <c r="E1898">
        <f>HYPERLINK("http://gitlab.osmosys.co/incident-reporter/incident-reporter-angular-portal", "OQSHA Portal")</f>
        <v/>
      </c>
      <c r="F1898">
        <f>HYPERLINK("http://gitlab.osmosys.co/incident-reporter/incident-reporter-angular-portal/-/merge_requests/3592", "feat: handle standalone checks rendering")</f>
        <v/>
      </c>
      <c r="G1898" t="inlineStr">
        <is>
          <t>feat/render-standalone-checks</t>
        </is>
      </c>
      <c r="H1898" t="inlineStr">
        <is>
          <t>sprint-18</t>
        </is>
      </c>
      <c r="I1898" t="inlineStr">
        <is>
          <t>merged</t>
        </is>
      </c>
      <c r="J1898" t="inlineStr">
        <is>
          <t>a513e29ae5f488f1655dc012feee565ade1ad447</t>
        </is>
      </c>
      <c r="K1898">
        <f>HYPERLINK("http://gitlab.osmosys.co/incident-reporter/incident-reporter-angular-portal/-/merge_requests/3592#note_242212", "It's standard to use i, j for indexing in loops—this pattern is used consistently throughout the codebase. If I were to remove or rename them, I’d have to update 70–80+ occurrences and thoroughly test everything again.")</f>
        <v/>
      </c>
      <c r="L1898" t="inlineStr">
        <is>
          <t>2025-07-25 22:19:17.697 IST</t>
        </is>
      </c>
      <c r="M1898" t="inlineStr">
        <is>
          <t>Hitesh Kandpal</t>
        </is>
      </c>
      <c r="N1898" t="inlineStr">
        <is>
          <t>No</t>
        </is>
      </c>
      <c r="O1898" t="inlineStr">
        <is>
          <t>Yes</t>
        </is>
      </c>
      <c r="P1898" t="inlineStr">
        <is>
          <t>Raj Kumar</t>
        </is>
      </c>
      <c r="Q1898" t="inlineStr">
        <is>
          <t>Neutral</t>
        </is>
      </c>
    </row>
    <row r="1899">
      <c r="A1899" t="inlineStr">
        <is>
          <t>hitesh.k</t>
        </is>
      </c>
      <c r="B1899" t="inlineStr">
        <is>
          <t>Hitesh Kandpal</t>
        </is>
      </c>
      <c r="C1899" t="inlineStr">
        <is>
          <t>hitesh.k@osmosys.co</t>
        </is>
      </c>
      <c r="D1899" t="inlineStr">
        <is>
          <t>incident-reporter</t>
        </is>
      </c>
      <c r="E1899">
        <f>HYPERLINK("http://gitlab.osmosys.co/incident-reporter/incident-reporter-angular-portal", "OQSHA Portal")</f>
        <v/>
      </c>
      <c r="F1899">
        <f>HYPERLINK("http://gitlab.osmosys.co/incident-reporter/incident-reporter-angular-portal/-/merge_requests/3592", "feat: handle standalone checks rendering")</f>
        <v/>
      </c>
      <c r="G1899" t="inlineStr">
        <is>
          <t>feat/render-standalone-checks</t>
        </is>
      </c>
      <c r="H1899" t="inlineStr">
        <is>
          <t>sprint-18</t>
        </is>
      </c>
      <c r="I1899" t="inlineStr">
        <is>
          <t>merged</t>
        </is>
      </c>
      <c r="J1899" t="inlineStr">
        <is>
          <t>a513e29ae5f488f1655dc012feee565ade1ad447</t>
        </is>
      </c>
      <c r="K1899">
        <f>HYPERLINK("http://gitlab.osmosys.co/incident-reporter/incident-reporter-angular-portal/-/merge_requests/3592#note_242384", "ok resolving.")</f>
        <v/>
      </c>
      <c r="L1899" t="inlineStr">
        <is>
          <t>2025-07-26 01:53:59.914 IST</t>
        </is>
      </c>
      <c r="M1899" t="inlineStr">
        <is>
          <t>Raj Kumar</t>
        </is>
      </c>
      <c r="N1899" t="inlineStr">
        <is>
          <t>Yes</t>
        </is>
      </c>
      <c r="O1899" t="inlineStr">
        <is>
          <t>Yes</t>
        </is>
      </c>
      <c r="P1899" t="inlineStr">
        <is>
          <t>Raj Kumar</t>
        </is>
      </c>
      <c r="Q1899" t="inlineStr">
        <is>
          <t>Neutral</t>
        </is>
      </c>
    </row>
    <row r="1900">
      <c r="A1900" t="inlineStr">
        <is>
          <t>hitesh.k</t>
        </is>
      </c>
      <c r="B1900" t="inlineStr">
        <is>
          <t>Hitesh Kandpal</t>
        </is>
      </c>
      <c r="C1900" t="inlineStr">
        <is>
          <t>hitesh.k@osmosys.co</t>
        </is>
      </c>
      <c r="D1900" t="inlineStr">
        <is>
          <t>incident-reporter</t>
        </is>
      </c>
      <c r="E1900">
        <f>HYPERLINK("http://gitlab.osmosys.co/incident-reporter/incident-reporter-angular-portal", "OQSHA Portal")</f>
        <v/>
      </c>
      <c r="F1900">
        <f>HYPERLINK("http://gitlab.osmosys.co/incident-reporter/incident-reporter-angular-portal/-/merge_requests/3592", "feat: handle standalone checks rendering")</f>
        <v/>
      </c>
      <c r="G1900" t="inlineStr">
        <is>
          <t>feat/render-standalone-checks</t>
        </is>
      </c>
      <c r="H1900" t="inlineStr">
        <is>
          <t>sprint-18</t>
        </is>
      </c>
      <c r="I1900" t="inlineStr">
        <is>
          <t>merged</t>
        </is>
      </c>
      <c r="J1900" t="inlineStr">
        <is>
          <t>46d15638a8a485a8539cae065276f1213e7a6ad5</t>
        </is>
      </c>
      <c r="K1900">
        <f>HYPERLINK("http://gitlab.osmosys.co/incident-reporter/incident-reporter-angular-portal/-/merge_requests/3592#note_242094", "As per Raj instruction for every commented code should be removed as on one the thread he confirmed it so take a permission from him then add his comment so will consider it
Ref img about raj confirmation on commented code:
![image.png](/uploads/c45d468dfed87f1671da15af8b53cccb/image.png)")</f>
        <v/>
      </c>
      <c r="L1900" t="inlineStr">
        <is>
          <t>2025-07-25 19:59:35.128 IST</t>
        </is>
      </c>
      <c r="M1900" t="inlineStr">
        <is>
          <t>Soundariya B</t>
        </is>
      </c>
      <c r="N1900" t="inlineStr">
        <is>
          <t>Yes</t>
        </is>
      </c>
      <c r="O1900" t="inlineStr">
        <is>
          <t>Yes</t>
        </is>
      </c>
      <c r="P1900" t="inlineStr">
        <is>
          <t>Soundariya B</t>
        </is>
      </c>
      <c r="Q1900" t="inlineStr">
        <is>
          <t>Bad</t>
        </is>
      </c>
    </row>
    <row r="1901">
      <c r="A1901" t="inlineStr">
        <is>
          <t>hitesh.k</t>
        </is>
      </c>
      <c r="B1901" t="inlineStr">
        <is>
          <t>Hitesh Kandpal</t>
        </is>
      </c>
      <c r="C1901" t="inlineStr">
        <is>
          <t>hitesh.k@osmosys.co</t>
        </is>
      </c>
      <c r="D1901" t="inlineStr">
        <is>
          <t>incident-reporter</t>
        </is>
      </c>
      <c r="E1901">
        <f>HYPERLINK("http://gitlab.osmosys.co/incident-reporter/incident-reporter-angular-portal", "OQSHA Portal")</f>
        <v/>
      </c>
      <c r="F1901">
        <f>HYPERLINK("http://gitlab.osmosys.co/incident-reporter/incident-reporter-angular-portal/-/merge_requests/3592", "feat: handle standalone checks rendering")</f>
        <v/>
      </c>
      <c r="G1901" t="inlineStr">
        <is>
          <t>feat/render-standalone-checks</t>
        </is>
      </c>
      <c r="H1901" t="inlineStr">
        <is>
          <t>sprint-18</t>
        </is>
      </c>
      <c r="I1901" t="inlineStr">
        <is>
          <t>merged</t>
        </is>
      </c>
      <c r="J1901" t="inlineStr">
        <is>
          <t>46d15638a8a485a8539cae065276f1213e7a6ad5</t>
        </is>
      </c>
      <c r="K1901">
        <f>HYPERLINK("http://gitlab.osmosys.co/incident-reporter/incident-reporter-angular-portal/-/merge_requests/3592#note_242211", "removed commented code")</f>
        <v/>
      </c>
      <c r="L1901" t="inlineStr">
        <is>
          <t>2025-07-25 22:16:22.418 IST</t>
        </is>
      </c>
      <c r="M1901" t="inlineStr">
        <is>
          <t>Hitesh Kandpal</t>
        </is>
      </c>
      <c r="N1901" t="inlineStr">
        <is>
          <t>No</t>
        </is>
      </c>
      <c r="O1901" t="inlineStr">
        <is>
          <t>Yes</t>
        </is>
      </c>
      <c r="P1901" t="inlineStr">
        <is>
          <t>Soundariya B</t>
        </is>
      </c>
      <c r="Q1901" t="inlineStr">
        <is>
          <t>Bad</t>
        </is>
      </c>
    </row>
    <row r="1902">
      <c r="A1902" t="inlineStr">
        <is>
          <t>hitesh.k</t>
        </is>
      </c>
      <c r="B1902" t="inlineStr">
        <is>
          <t>Hitesh Kandpal</t>
        </is>
      </c>
      <c r="C1902" t="inlineStr">
        <is>
          <t>hitesh.k@osmosys.co</t>
        </is>
      </c>
      <c r="D1902" t="inlineStr">
        <is>
          <t>incident-reporter</t>
        </is>
      </c>
      <c r="E1902">
        <f>HYPERLINK("http://gitlab.osmosys.co/incident-reporter/incident-reporter-angular-portal", "OQSHA Portal")</f>
        <v/>
      </c>
      <c r="F1902">
        <f>HYPERLINK("http://gitlab.osmosys.co/incident-reporter/incident-reporter-angular-portal/-/merge_requests/3592", "feat: handle standalone checks rendering")</f>
        <v/>
      </c>
      <c r="G1902" t="inlineStr">
        <is>
          <t>feat/render-standalone-checks</t>
        </is>
      </c>
      <c r="H1902" t="inlineStr">
        <is>
          <t>sprint-18</t>
        </is>
      </c>
      <c r="I1902" t="inlineStr">
        <is>
          <t>merged</t>
        </is>
      </c>
      <c r="J1902" t="inlineStr">
        <is>
          <t>6454ca837440a0632e75ff321eefbf47223d7534</t>
        </is>
      </c>
      <c r="K1902">
        <f>HYPERLINK("http://gitlab.osmosys.co/incident-reporter/incident-reporter-angular-portal/-/merge_requests/3592#note_242095", "What are these variable naming convention used here which very bad?
It should be selectedTimeValue and selectedDateValue")</f>
        <v/>
      </c>
      <c r="L1902" t="inlineStr">
        <is>
          <t>2025-07-25 19:59:35.222 IST</t>
        </is>
      </c>
      <c r="M1902" t="inlineStr">
        <is>
          <t>Soundariya B</t>
        </is>
      </c>
      <c r="N1902" t="inlineStr">
        <is>
          <t>Yes</t>
        </is>
      </c>
      <c r="O1902" t="inlineStr">
        <is>
          <t>Yes</t>
        </is>
      </c>
      <c r="P1902" t="inlineStr">
        <is>
          <t>Raj Kumar</t>
        </is>
      </c>
      <c r="Q1902" t="inlineStr">
        <is>
          <t>Neutral</t>
        </is>
      </c>
    </row>
    <row r="1903">
      <c r="A1903" t="inlineStr">
        <is>
          <t>hitesh.k</t>
        </is>
      </c>
      <c r="B1903" t="inlineStr">
        <is>
          <t>Hitesh Kandpal</t>
        </is>
      </c>
      <c r="C1903" t="inlineStr">
        <is>
          <t>hitesh.k@osmosys.co</t>
        </is>
      </c>
      <c r="D1903" t="inlineStr">
        <is>
          <t>incident-reporter</t>
        </is>
      </c>
      <c r="E1903">
        <f>HYPERLINK("http://gitlab.osmosys.co/incident-reporter/incident-reporter-angular-portal", "OQSHA Portal")</f>
        <v/>
      </c>
      <c r="F1903">
        <f>HYPERLINK("http://gitlab.osmosys.co/incident-reporter/incident-reporter-angular-portal/-/merge_requests/3592", "feat: handle standalone checks rendering")</f>
        <v/>
      </c>
      <c r="G1903" t="inlineStr">
        <is>
          <t>feat/render-standalone-checks</t>
        </is>
      </c>
      <c r="H1903" t="inlineStr">
        <is>
          <t>sprint-18</t>
        </is>
      </c>
      <c r="I1903" t="inlineStr">
        <is>
          <t>merged</t>
        </is>
      </c>
      <c r="J1903" t="inlineStr">
        <is>
          <t>6454ca837440a0632e75ff321eefbf47223d7534</t>
        </is>
      </c>
      <c r="K1903">
        <f>HYPERLINK("http://gitlab.osmosys.co/incident-reporter/incident-reporter-angular-portal/-/merge_requests/3592#note_242115", "it's same in all portal, i didn't add anything new, it's following the normal convention which being used everywhere")</f>
        <v/>
      </c>
      <c r="L1903" t="inlineStr">
        <is>
          <t>2025-07-25 20:29:53.115 IST</t>
        </is>
      </c>
      <c r="M1903" t="inlineStr">
        <is>
          <t>Hitesh Kandpal</t>
        </is>
      </c>
      <c r="N1903" t="inlineStr">
        <is>
          <t>No</t>
        </is>
      </c>
      <c r="O1903" t="inlineStr">
        <is>
          <t>Yes</t>
        </is>
      </c>
      <c r="P1903" t="inlineStr">
        <is>
          <t>Raj Kumar</t>
        </is>
      </c>
      <c r="Q1903" t="inlineStr">
        <is>
          <t>Neutral</t>
        </is>
      </c>
    </row>
    <row r="1904">
      <c r="A1904" t="inlineStr">
        <is>
          <t>hitesh.k</t>
        </is>
      </c>
      <c r="B1904" t="inlineStr">
        <is>
          <t>Hitesh Kandpal</t>
        </is>
      </c>
      <c r="C1904" t="inlineStr">
        <is>
          <t>hitesh.k@osmosys.co</t>
        </is>
      </c>
      <c r="D1904" t="inlineStr">
        <is>
          <t>incident-reporter</t>
        </is>
      </c>
      <c r="E1904">
        <f>HYPERLINK("http://gitlab.osmosys.co/incident-reporter/incident-reporter-angular-portal", "OQSHA Portal")</f>
        <v/>
      </c>
      <c r="F1904">
        <f>HYPERLINK("http://gitlab.osmosys.co/incident-reporter/incident-reporter-angular-portal/-/merge_requests/3592", "feat: handle standalone checks rendering")</f>
        <v/>
      </c>
      <c r="G1904" t="inlineStr">
        <is>
          <t>feat/render-standalone-checks</t>
        </is>
      </c>
      <c r="H1904" t="inlineStr">
        <is>
          <t>sprint-18</t>
        </is>
      </c>
      <c r="I1904" t="inlineStr">
        <is>
          <t>merged</t>
        </is>
      </c>
      <c r="J1904" t="inlineStr">
        <is>
          <t>6454ca837440a0632e75ff321eefbf47223d7534</t>
        </is>
      </c>
      <c r="K1904">
        <f>HYPERLINK("http://gitlab.osmosys.co/incident-reporter/incident-reporter-angular-portal/-/merge_requests/3592#note_242385", "ok resolving.")</f>
        <v/>
      </c>
      <c r="L1904" t="inlineStr">
        <is>
          <t>2025-07-26 01:54:24.305 IST</t>
        </is>
      </c>
      <c r="M1904" t="inlineStr">
        <is>
          <t>Raj Kumar</t>
        </is>
      </c>
      <c r="N1904" t="inlineStr">
        <is>
          <t>Yes</t>
        </is>
      </c>
      <c r="O1904" t="inlineStr">
        <is>
          <t>Yes</t>
        </is>
      </c>
      <c r="P1904" t="inlineStr">
        <is>
          <t>Raj Kumar</t>
        </is>
      </c>
      <c r="Q1904" t="inlineStr">
        <is>
          <t>Neutral</t>
        </is>
      </c>
    </row>
    <row r="1905">
      <c r="A1905" t="inlineStr">
        <is>
          <t>hitesh.k</t>
        </is>
      </c>
      <c r="B1905" t="inlineStr">
        <is>
          <t>Hitesh Kandpal</t>
        </is>
      </c>
      <c r="C1905" t="inlineStr">
        <is>
          <t>hitesh.k@osmosys.co</t>
        </is>
      </c>
      <c r="D1905" t="inlineStr">
        <is>
          <t>incident-reporter</t>
        </is>
      </c>
      <c r="E1905">
        <f>HYPERLINK("http://gitlab.osmosys.co/incident-reporter/incident-reporter-angular-portal", "OQSHA Portal")</f>
        <v/>
      </c>
      <c r="F1905">
        <f>HYPERLINK("http://gitlab.osmosys.co/incident-reporter/incident-reporter-angular-portal/-/merge_requests/3587", "feat: add standalone checks and change ui for sections")</f>
        <v/>
      </c>
      <c r="G1905" t="inlineStr">
        <is>
          <t>feat/moc-type-ui</t>
        </is>
      </c>
      <c r="H1905" t="inlineStr">
        <is>
          <t>sprint-18</t>
        </is>
      </c>
      <c r="I1905" t="inlineStr">
        <is>
          <t>merged</t>
        </is>
      </c>
      <c r="J1905" t="inlineStr">
        <is>
          <t>4ade3ce0d790d2fd7ae9bcdb0762010d821218ff</t>
        </is>
      </c>
      <c r="K1905">
        <f>HYPERLINK("http://gitlab.osmosys.co/incident-reporter/incident-reporter-angular-portal/-/merge_requests/3587#note_241716", "Check the UI issue and alignment comments of mine and Raj ones and please apply it for this PR as well - https://gitlab.osmosys.co/incident-reporter/incident-reporter-angular-portal/-/merge_requests/3522/
I can see still the UI issues are not fixed.")</f>
        <v/>
      </c>
      <c r="L1905" t="inlineStr">
        <is>
          <t>2025-07-25 10:23:27.812 IST</t>
        </is>
      </c>
      <c r="M1905" t="inlineStr">
        <is>
          <t>Soundariya B</t>
        </is>
      </c>
      <c r="N1905" t="inlineStr">
        <is>
          <t>Yes</t>
        </is>
      </c>
      <c r="O1905" t="inlineStr">
        <is>
          <t>Yes</t>
        </is>
      </c>
      <c r="P1905" t="inlineStr">
        <is>
          <t>Soundariya B</t>
        </is>
      </c>
      <c r="Q1905" t="inlineStr">
        <is>
          <t>Neutral</t>
        </is>
      </c>
    </row>
    <row r="1906">
      <c r="A1906" t="inlineStr">
        <is>
          <t>hitesh.k</t>
        </is>
      </c>
      <c r="B1906" t="inlineStr">
        <is>
          <t>Hitesh Kandpal</t>
        </is>
      </c>
      <c r="C1906" t="inlineStr">
        <is>
          <t>hitesh.k@osmosys.co</t>
        </is>
      </c>
      <c r="D1906" t="inlineStr">
        <is>
          <t>incident-reporter</t>
        </is>
      </c>
      <c r="E1906">
        <f>HYPERLINK("http://gitlab.osmosys.co/incident-reporter/incident-reporter-angular-portal", "OQSHA Portal")</f>
        <v/>
      </c>
      <c r="F1906">
        <f>HYPERLINK("http://gitlab.osmosys.co/incident-reporter/incident-reporter-angular-portal/-/merge_requests/3587", "feat: add standalone checks and change ui for sections")</f>
        <v/>
      </c>
      <c r="G1906" t="inlineStr">
        <is>
          <t>feat/moc-type-ui</t>
        </is>
      </c>
      <c r="H1906" t="inlineStr">
        <is>
          <t>sprint-18</t>
        </is>
      </c>
      <c r="I1906" t="inlineStr">
        <is>
          <t>merged</t>
        </is>
      </c>
      <c r="J1906" t="inlineStr">
        <is>
          <t>4ade3ce0d790d2fd7ae9bcdb0762010d821218ff</t>
        </is>
      </c>
      <c r="K1906">
        <f>HYPERLINK("http://gitlab.osmosys.co/incident-reporter/incident-reporter-angular-portal/-/merge_requests/3587#note_241749", "i have fixed the aligments that were mentioned
only thing that i didn't change is the right arrow for accordion, as every accordion in portal is got that, please mention what exactly you meant by UI Issues here")</f>
        <v/>
      </c>
      <c r="L1906" t="inlineStr">
        <is>
          <t>2025-07-25 10:48:34.985 IST</t>
        </is>
      </c>
      <c r="M1906" t="inlineStr">
        <is>
          <t>Hitesh Kandpal</t>
        </is>
      </c>
      <c r="N1906" t="inlineStr">
        <is>
          <t>No</t>
        </is>
      </c>
      <c r="O1906" t="inlineStr">
        <is>
          <t>Yes</t>
        </is>
      </c>
      <c r="P1906" t="inlineStr">
        <is>
          <t>Soundariya B</t>
        </is>
      </c>
      <c r="Q1906" t="inlineStr">
        <is>
          <t>Neutral</t>
        </is>
      </c>
    </row>
    <row r="1907">
      <c r="A1907" t="inlineStr">
        <is>
          <t>hitesh.k</t>
        </is>
      </c>
      <c r="B1907" t="inlineStr">
        <is>
          <t>Hitesh Kandpal</t>
        </is>
      </c>
      <c r="C1907" t="inlineStr">
        <is>
          <t>hitesh.k@osmosys.co</t>
        </is>
      </c>
      <c r="D1907" t="inlineStr">
        <is>
          <t>incident-reporter</t>
        </is>
      </c>
      <c r="E1907">
        <f>HYPERLINK("http://gitlab.osmosys.co/incident-reporter/incident-reporter-angular-portal", "OQSHA Portal")</f>
        <v/>
      </c>
      <c r="F1907">
        <f>HYPERLINK("http://gitlab.osmosys.co/incident-reporter/incident-reporter-angular-portal/-/merge_requests/3587", "feat: add standalone checks and change ui for sections")</f>
        <v/>
      </c>
      <c r="G1907" t="inlineStr">
        <is>
          <t>feat/moc-type-ui</t>
        </is>
      </c>
      <c r="H1907" t="inlineStr">
        <is>
          <t>sprint-18</t>
        </is>
      </c>
      <c r="I1907" t="inlineStr">
        <is>
          <t>merged</t>
        </is>
      </c>
      <c r="J1907" t="inlineStr">
        <is>
          <t>8cd2049eaee96da2809d3438e9a08c961fac9f3e</t>
        </is>
      </c>
      <c r="K1907">
        <f>HYPERLINK("http://gitlab.osmosys.co/incident-reporter/incident-reporter-angular-portal/-/merge_requests/3587#note_241717", "* Move plus icon to right as that is parent check
* Check the font weight are different between these texts
* Reduces the count textbox as Raj said in above mentioned PR which is attached in above thread
![image.png](/uploads/232ac9803d30ddd9226fca6336e704af/image.png)")</f>
        <v/>
      </c>
      <c r="L1907" t="inlineStr">
        <is>
          <t>2025-07-25 10:23:27.856 IST</t>
        </is>
      </c>
      <c r="M1907" t="inlineStr">
        <is>
          <t>Soundariya B</t>
        </is>
      </c>
      <c r="N1907" t="inlineStr">
        <is>
          <t>Yes</t>
        </is>
      </c>
      <c r="O1907" t="inlineStr">
        <is>
          <t>Yes</t>
        </is>
      </c>
      <c r="P1907" t="inlineStr">
        <is>
          <t>Soundariya B</t>
        </is>
      </c>
      <c r="Q1907" t="inlineStr">
        <is>
          <t>Neutral</t>
        </is>
      </c>
    </row>
    <row r="1908">
      <c r="A1908" t="inlineStr">
        <is>
          <t>hitesh.k</t>
        </is>
      </c>
      <c r="B1908" t="inlineStr">
        <is>
          <t>Hitesh Kandpal</t>
        </is>
      </c>
      <c r="C1908" t="inlineStr">
        <is>
          <t>hitesh.k@osmosys.co</t>
        </is>
      </c>
      <c r="D1908" t="inlineStr">
        <is>
          <t>incident-reporter</t>
        </is>
      </c>
      <c r="E1908">
        <f>HYPERLINK("http://gitlab.osmosys.co/incident-reporter/incident-reporter-angular-portal", "OQSHA Portal")</f>
        <v/>
      </c>
      <c r="F1908">
        <f>HYPERLINK("http://gitlab.osmosys.co/incident-reporter/incident-reporter-angular-portal/-/merge_requests/3587", "feat: add standalone checks and change ui for sections")</f>
        <v/>
      </c>
      <c r="G1908" t="inlineStr">
        <is>
          <t>feat/moc-type-ui</t>
        </is>
      </c>
      <c r="H1908" t="inlineStr">
        <is>
          <t>sprint-18</t>
        </is>
      </c>
      <c r="I1908" t="inlineStr">
        <is>
          <t>merged</t>
        </is>
      </c>
      <c r="J1908" t="inlineStr">
        <is>
          <t>8cd2049eaee96da2809d3438e9a08c961fac9f3e</t>
        </is>
      </c>
      <c r="K1908">
        <f>HYPERLINK("http://gitlab.osmosys.co/incident-reporter/incident-reporter-angular-portal/-/merge_requests/3587#note_242045", "showed this to MS, he said no need to do it, whatever is there right now is fine as we are not giving it to client yet this is for our conveninance more fine tuning we will do later")</f>
        <v/>
      </c>
      <c r="L1908" t="inlineStr">
        <is>
          <t>2025-07-25 19:12:05.971 IST</t>
        </is>
      </c>
      <c r="M1908" t="inlineStr">
        <is>
          <t>Hitesh Kandpal</t>
        </is>
      </c>
      <c r="N1908" t="inlineStr">
        <is>
          <t>No</t>
        </is>
      </c>
      <c r="O1908" t="inlineStr">
        <is>
          <t>Yes</t>
        </is>
      </c>
      <c r="P1908" t="inlineStr">
        <is>
          <t>Soundariya B</t>
        </is>
      </c>
      <c r="Q1908" t="inlineStr">
        <is>
          <t>Neutral</t>
        </is>
      </c>
    </row>
    <row r="1909">
      <c r="A1909" t="inlineStr">
        <is>
          <t>hitesh.k</t>
        </is>
      </c>
      <c r="B1909" t="inlineStr">
        <is>
          <t>Hitesh Kandpal</t>
        </is>
      </c>
      <c r="C1909" t="inlineStr">
        <is>
          <t>hitesh.k@osmosys.co</t>
        </is>
      </c>
      <c r="D1909" t="inlineStr">
        <is>
          <t>incident-reporter</t>
        </is>
      </c>
      <c r="E1909">
        <f>HYPERLINK("http://gitlab.osmosys.co/incident-reporter/incident-reporter-angular-portal", "OQSHA Portal")</f>
        <v/>
      </c>
      <c r="F1909">
        <f>HYPERLINK("http://gitlab.osmosys.co/incident-reporter/incident-reporter-angular-portal/-/merge_requests/3587", "feat: add standalone checks and change ui for sections")</f>
        <v/>
      </c>
      <c r="G1909" t="inlineStr">
        <is>
          <t>feat/moc-type-ui</t>
        </is>
      </c>
      <c r="H1909" t="inlineStr">
        <is>
          <t>sprint-18</t>
        </is>
      </c>
      <c r="I1909" t="inlineStr">
        <is>
          <t>merged</t>
        </is>
      </c>
      <c r="J1909" t="inlineStr">
        <is>
          <t>085a79368ac715a7a722b8e9b662ec3ba90a50ca</t>
        </is>
      </c>
      <c r="K1909">
        <f>HYPERLINK("http://gitlab.osmosys.co/incident-reporter/incident-reporter-angular-portal/-/merge_requests/3587#note_241718", "Wrong test case attached")</f>
        <v/>
      </c>
      <c r="L1909" t="inlineStr">
        <is>
          <t>2025-07-25 10:23:27.890 IST</t>
        </is>
      </c>
      <c r="M1909" t="inlineStr">
        <is>
          <t>Soundariya B</t>
        </is>
      </c>
      <c r="N1909" t="inlineStr">
        <is>
          <t>Yes</t>
        </is>
      </c>
      <c r="O1909" t="inlineStr">
        <is>
          <t>Yes</t>
        </is>
      </c>
      <c r="P1909" t="inlineStr">
        <is>
          <t>Soundariya B</t>
        </is>
      </c>
      <c r="Q1909" t="inlineStr">
        <is>
          <t>Bad</t>
        </is>
      </c>
    </row>
    <row r="1910">
      <c r="A1910" t="inlineStr">
        <is>
          <t>hitesh.k</t>
        </is>
      </c>
      <c r="B1910" t="inlineStr">
        <is>
          <t>Hitesh Kandpal</t>
        </is>
      </c>
      <c r="C1910" t="inlineStr">
        <is>
          <t>hitesh.k@osmosys.co</t>
        </is>
      </c>
      <c r="D1910" t="inlineStr">
        <is>
          <t>incident-reporter</t>
        </is>
      </c>
      <c r="E1910">
        <f>HYPERLINK("http://gitlab.osmosys.co/incident-reporter/incident-reporter-angular-portal", "OQSHA Portal")</f>
        <v/>
      </c>
      <c r="F1910">
        <f>HYPERLINK("http://gitlab.osmosys.co/incident-reporter/incident-reporter-angular-portal/-/merge_requests/3587", "feat: add standalone checks and change ui for sections")</f>
        <v/>
      </c>
      <c r="G1910" t="inlineStr">
        <is>
          <t>feat/moc-type-ui</t>
        </is>
      </c>
      <c r="H1910" t="inlineStr">
        <is>
          <t>sprint-18</t>
        </is>
      </c>
      <c r="I1910" t="inlineStr">
        <is>
          <t>merged</t>
        </is>
      </c>
      <c r="J1910" t="inlineStr">
        <is>
          <t>085a79368ac715a7a722b8e9b662ec3ba90a50ca</t>
        </is>
      </c>
      <c r="K1910">
        <f>HYPERLINK("http://gitlab.osmosys.co/incident-reporter/incident-reporter-angular-portal/-/merge_requests/3587#note_242229", "updated test case section")</f>
        <v/>
      </c>
      <c r="L1910" t="inlineStr">
        <is>
          <t>2025-07-25 22:35:44.200 IST</t>
        </is>
      </c>
      <c r="M1910" t="inlineStr">
        <is>
          <t>Hitesh Kandpal</t>
        </is>
      </c>
      <c r="N1910" t="inlineStr">
        <is>
          <t>No</t>
        </is>
      </c>
      <c r="O1910" t="inlineStr">
        <is>
          <t>Yes</t>
        </is>
      </c>
      <c r="P1910" t="inlineStr">
        <is>
          <t>Soundariya B</t>
        </is>
      </c>
      <c r="Q1910" t="inlineStr">
        <is>
          <t>Bad</t>
        </is>
      </c>
    </row>
    <row r="1911">
      <c r="A1911" t="inlineStr">
        <is>
          <t>hitesh.k</t>
        </is>
      </c>
      <c r="B1911" t="inlineStr">
        <is>
          <t>Hitesh Kandpal</t>
        </is>
      </c>
      <c r="C1911" t="inlineStr">
        <is>
          <t>hitesh.k@osmosys.co</t>
        </is>
      </c>
      <c r="D1911" t="inlineStr">
        <is>
          <t>incident-reporter</t>
        </is>
      </c>
      <c r="E1911">
        <f>HYPERLINK("http://gitlab.osmosys.co/incident-reporter/incident-reporter-angular-portal", "OQSHA Portal")</f>
        <v/>
      </c>
      <c r="F1911">
        <f>HYPERLINK("http://gitlab.osmosys.co/incident-reporter/incident-reporter-angular-portal/-/merge_requests/3587", "feat: add standalone checks and change ui for sections")</f>
        <v/>
      </c>
      <c r="G1911" t="inlineStr">
        <is>
          <t>feat/moc-type-ui</t>
        </is>
      </c>
      <c r="H1911" t="inlineStr">
        <is>
          <t>sprint-18</t>
        </is>
      </c>
      <c r="I1911" t="inlineStr">
        <is>
          <t>merged</t>
        </is>
      </c>
      <c r="J1911" t="inlineStr">
        <is>
          <t>da7530754778c6de9d2c603cc9b2fbb137b4badf</t>
        </is>
      </c>
      <c r="K1911">
        <f>HYPERLINK("http://gitlab.osmosys.co/incident-reporter/incident-reporter-angular-portal/-/merge_requests/3587#note_241719", "It should be - onSelectStandAloneCheckType")</f>
        <v/>
      </c>
      <c r="L1911" t="inlineStr">
        <is>
          <t>2025-07-25 10:23:27.956 IST</t>
        </is>
      </c>
      <c r="M1911" t="inlineStr">
        <is>
          <t>Soundariya B</t>
        </is>
      </c>
      <c r="N1911" t="inlineStr">
        <is>
          <t>Yes</t>
        </is>
      </c>
      <c r="O1911" t="inlineStr">
        <is>
          <t>Yes</t>
        </is>
      </c>
      <c r="P1911" t="inlineStr">
        <is>
          <t>Soundariya B</t>
        </is>
      </c>
      <c r="Q1911" t="inlineStr">
        <is>
          <t>Bad</t>
        </is>
      </c>
    </row>
    <row r="1912">
      <c r="A1912" t="inlineStr">
        <is>
          <t>hitesh.k</t>
        </is>
      </c>
      <c r="B1912" t="inlineStr">
        <is>
          <t>Hitesh Kandpal</t>
        </is>
      </c>
      <c r="C1912" t="inlineStr">
        <is>
          <t>hitesh.k@osmosys.co</t>
        </is>
      </c>
      <c r="D1912" t="inlineStr">
        <is>
          <t>incident-reporter</t>
        </is>
      </c>
      <c r="E1912">
        <f>HYPERLINK("http://gitlab.osmosys.co/incident-reporter/incident-reporter-angular-portal", "OQSHA Portal")</f>
        <v/>
      </c>
      <c r="F1912">
        <f>HYPERLINK("http://gitlab.osmosys.co/incident-reporter/incident-reporter-angular-portal/-/merge_requests/3587", "feat: add standalone checks and change ui for sections")</f>
        <v/>
      </c>
      <c r="G1912" t="inlineStr">
        <is>
          <t>feat/moc-type-ui</t>
        </is>
      </c>
      <c r="H1912" t="inlineStr">
        <is>
          <t>sprint-18</t>
        </is>
      </c>
      <c r="I1912" t="inlineStr">
        <is>
          <t>merged</t>
        </is>
      </c>
      <c r="J1912" t="inlineStr">
        <is>
          <t>da7530754778c6de9d2c603cc9b2fbb137b4badf</t>
        </is>
      </c>
      <c r="K1912">
        <f>HYPERLINK("http://gitlab.osmosys.co/incident-reporter/incident-reporter-angular-portal/-/merge_requests/3587#note_241895", "fixed")</f>
        <v/>
      </c>
      <c r="L1912" t="inlineStr">
        <is>
          <t>2025-07-25 16:19:53.619 IST</t>
        </is>
      </c>
      <c r="M1912" t="inlineStr">
        <is>
          <t>Hitesh Kandpal</t>
        </is>
      </c>
      <c r="N1912" t="inlineStr">
        <is>
          <t>No</t>
        </is>
      </c>
      <c r="O1912" t="inlineStr">
        <is>
          <t>Yes</t>
        </is>
      </c>
      <c r="P1912" t="inlineStr">
        <is>
          <t>Soundariya B</t>
        </is>
      </c>
      <c r="Q1912" t="inlineStr">
        <is>
          <t>Bad</t>
        </is>
      </c>
    </row>
    <row r="1913">
      <c r="A1913" t="inlineStr">
        <is>
          <t>hitesh.k</t>
        </is>
      </c>
      <c r="B1913" t="inlineStr">
        <is>
          <t>Hitesh Kandpal</t>
        </is>
      </c>
      <c r="C1913" t="inlineStr">
        <is>
          <t>hitesh.k@osmosys.co</t>
        </is>
      </c>
      <c r="D1913" t="inlineStr">
        <is>
          <t>incident-reporter</t>
        </is>
      </c>
      <c r="E1913">
        <f>HYPERLINK("http://gitlab.osmosys.co/incident-reporter/incident-reporter-angular-portal", "OQSHA Portal")</f>
        <v/>
      </c>
      <c r="F1913">
        <f>HYPERLINK("http://gitlab.osmosys.co/incident-reporter/incident-reporter-angular-portal/-/merge_requests/3587", "feat: add standalone checks and change ui for sections")</f>
        <v/>
      </c>
      <c r="G1913" t="inlineStr">
        <is>
          <t>feat/moc-type-ui</t>
        </is>
      </c>
      <c r="H1913" t="inlineStr">
        <is>
          <t>sprint-18</t>
        </is>
      </c>
      <c r="I1913" t="inlineStr">
        <is>
          <t>merged</t>
        </is>
      </c>
      <c r="J1913" t="inlineStr">
        <is>
          <t>18989d4a15f3d83bc087d601af8a509582b2380e</t>
        </is>
      </c>
      <c r="K1913">
        <f>HYPERLINK("http://gitlab.osmosys.co/incident-reporter/incident-reporter-angular-portal/-/merge_requests/3587#note_241720", "As will have many indexing here for this module so can you give as standAloneIndex")</f>
        <v/>
      </c>
      <c r="L1913" t="inlineStr">
        <is>
          <t>2025-07-25 10:23:28.035 IST</t>
        </is>
      </c>
      <c r="M1913" t="inlineStr">
        <is>
          <t>Soundariya B</t>
        </is>
      </c>
      <c r="N1913" t="inlineStr">
        <is>
          <t>Yes</t>
        </is>
      </c>
      <c r="O1913" t="inlineStr">
        <is>
          <t>Yes</t>
        </is>
      </c>
      <c r="P1913" t="inlineStr">
        <is>
          <t>Soundariya B</t>
        </is>
      </c>
      <c r="Q1913" t="inlineStr">
        <is>
          <t>Bad</t>
        </is>
      </c>
    </row>
    <row r="1914">
      <c r="A1914" t="inlineStr">
        <is>
          <t>hitesh.k</t>
        </is>
      </c>
      <c r="B1914" t="inlineStr">
        <is>
          <t>Hitesh Kandpal</t>
        </is>
      </c>
      <c r="C1914" t="inlineStr">
        <is>
          <t>hitesh.k@osmosys.co</t>
        </is>
      </c>
      <c r="D1914" t="inlineStr">
        <is>
          <t>incident-reporter</t>
        </is>
      </c>
      <c r="E1914">
        <f>HYPERLINK("http://gitlab.osmosys.co/incident-reporter/incident-reporter-angular-portal", "OQSHA Portal")</f>
        <v/>
      </c>
      <c r="F1914">
        <f>HYPERLINK("http://gitlab.osmosys.co/incident-reporter/incident-reporter-angular-portal/-/merge_requests/3587", "feat: add standalone checks and change ui for sections")</f>
        <v/>
      </c>
      <c r="G1914" t="inlineStr">
        <is>
          <t>feat/moc-type-ui</t>
        </is>
      </c>
      <c r="H1914" t="inlineStr">
        <is>
          <t>sprint-18</t>
        </is>
      </c>
      <c r="I1914" t="inlineStr">
        <is>
          <t>merged</t>
        </is>
      </c>
      <c r="J1914" t="inlineStr">
        <is>
          <t>18989d4a15f3d83bc087d601af8a509582b2380e</t>
        </is>
      </c>
      <c r="K1914">
        <f>HYPERLINK("http://gitlab.osmosys.co/incident-reporter/incident-reporter-angular-portal/-/merge_requests/3587#note_241899", "fixed in all places")</f>
        <v/>
      </c>
      <c r="L1914" t="inlineStr">
        <is>
          <t>2025-07-25 16:22:42.403 IST</t>
        </is>
      </c>
      <c r="M1914" t="inlineStr">
        <is>
          <t>Hitesh Kandpal</t>
        </is>
      </c>
      <c r="N1914" t="inlineStr">
        <is>
          <t>No</t>
        </is>
      </c>
      <c r="O1914" t="inlineStr">
        <is>
          <t>Yes</t>
        </is>
      </c>
      <c r="P1914" t="inlineStr">
        <is>
          <t>Soundariya B</t>
        </is>
      </c>
      <c r="Q1914" t="inlineStr">
        <is>
          <t>Bad</t>
        </is>
      </c>
    </row>
    <row r="1915">
      <c r="A1915" t="inlineStr">
        <is>
          <t>hitesh.k</t>
        </is>
      </c>
      <c r="B1915" t="inlineStr">
        <is>
          <t>Hitesh Kandpal</t>
        </is>
      </c>
      <c r="C1915" t="inlineStr">
        <is>
          <t>hitesh.k@osmosys.co</t>
        </is>
      </c>
      <c r="D1915" t="inlineStr">
        <is>
          <t>incident-reporter</t>
        </is>
      </c>
      <c r="E1915">
        <f>HYPERLINK("http://gitlab.osmosys.co/incident-reporter/incident-reporter-angular-portal", "OQSHA Portal")</f>
        <v/>
      </c>
      <c r="F1915">
        <f>HYPERLINK("http://gitlab.osmosys.co/incident-reporter/incident-reporter-angular-portal/-/merge_requests/3587", "feat: add standalone checks and change ui for sections")</f>
        <v/>
      </c>
      <c r="G1915" t="inlineStr">
        <is>
          <t>feat/moc-type-ui</t>
        </is>
      </c>
      <c r="H1915" t="inlineStr">
        <is>
          <t>sprint-18</t>
        </is>
      </c>
      <c r="I1915" t="inlineStr">
        <is>
          <t>merged</t>
        </is>
      </c>
      <c r="J1915" t="inlineStr">
        <is>
          <t>a30fbd5aac331b414ab80eb10e42dd7672d84ed6</t>
        </is>
      </c>
      <c r="K1915">
        <f>HYPERLINK("http://gitlab.osmosys.co/incident-reporter/incident-reporter-angular-portal/-/merge_requests/3587#note_241721", "It should be standAloneOption instead of option which give a clear code readability")</f>
        <v/>
      </c>
      <c r="L1915" t="inlineStr">
        <is>
          <t>2025-07-25 10:23:28.107 IST</t>
        </is>
      </c>
      <c r="M1915" t="inlineStr">
        <is>
          <t>Soundariya B</t>
        </is>
      </c>
      <c r="N1915" t="inlineStr">
        <is>
          <t>Yes</t>
        </is>
      </c>
      <c r="O1915" t="inlineStr">
        <is>
          <t>Yes</t>
        </is>
      </c>
      <c r="P1915" t="inlineStr">
        <is>
          <t>Soundariya B</t>
        </is>
      </c>
      <c r="Q1915" t="inlineStr">
        <is>
          <t>Bad</t>
        </is>
      </c>
    </row>
    <row r="1916">
      <c r="A1916" t="inlineStr">
        <is>
          <t>hitesh.k</t>
        </is>
      </c>
      <c r="B1916" t="inlineStr">
        <is>
          <t>Hitesh Kandpal</t>
        </is>
      </c>
      <c r="C1916" t="inlineStr">
        <is>
          <t>hitesh.k@osmosys.co</t>
        </is>
      </c>
      <c r="D1916" t="inlineStr">
        <is>
          <t>incident-reporter</t>
        </is>
      </c>
      <c r="E1916">
        <f>HYPERLINK("http://gitlab.osmosys.co/incident-reporter/incident-reporter-angular-portal", "OQSHA Portal")</f>
        <v/>
      </c>
      <c r="F1916">
        <f>HYPERLINK("http://gitlab.osmosys.co/incident-reporter/incident-reporter-angular-portal/-/merge_requests/3587", "feat: add standalone checks and change ui for sections")</f>
        <v/>
      </c>
      <c r="G1916" t="inlineStr">
        <is>
          <t>feat/moc-type-ui</t>
        </is>
      </c>
      <c r="H1916" t="inlineStr">
        <is>
          <t>sprint-18</t>
        </is>
      </c>
      <c r="I1916" t="inlineStr">
        <is>
          <t>merged</t>
        </is>
      </c>
      <c r="J1916" t="inlineStr">
        <is>
          <t>a30fbd5aac331b414ab80eb10e42dd7672d84ed6</t>
        </is>
      </c>
      <c r="K1916">
        <f>HYPERLINK("http://gitlab.osmosys.co/incident-reporter/incident-reporter-angular-portal/-/merge_requests/3587#note_241905", "fixed")</f>
        <v/>
      </c>
      <c r="L1916" t="inlineStr">
        <is>
          <t>2025-07-25 16:24:02.059 IST</t>
        </is>
      </c>
      <c r="M1916" t="inlineStr">
        <is>
          <t>Hitesh Kandpal</t>
        </is>
      </c>
      <c r="N1916" t="inlineStr">
        <is>
          <t>No</t>
        </is>
      </c>
      <c r="O1916" t="inlineStr">
        <is>
          <t>Yes</t>
        </is>
      </c>
      <c r="P1916" t="inlineStr">
        <is>
          <t>Soundariya B</t>
        </is>
      </c>
      <c r="Q1916" t="inlineStr">
        <is>
          <t>Bad</t>
        </is>
      </c>
    </row>
    <row r="1917">
      <c r="A1917" t="inlineStr">
        <is>
          <t>hitesh.k</t>
        </is>
      </c>
      <c r="B1917" t="inlineStr">
        <is>
          <t>Hitesh Kandpal</t>
        </is>
      </c>
      <c r="C1917" t="inlineStr">
        <is>
          <t>hitesh.k@osmosys.co</t>
        </is>
      </c>
      <c r="D1917" t="inlineStr">
        <is>
          <t>incident-reporter</t>
        </is>
      </c>
      <c r="E1917">
        <f>HYPERLINK("http://gitlab.osmosys.co/incident-reporter/incident-reporter-angular-portal", "OQSHA Portal")</f>
        <v/>
      </c>
      <c r="F1917">
        <f>HYPERLINK("http://gitlab.osmosys.co/incident-reporter/incident-reporter-angular-portal/-/merge_requests/3587", "feat: add standalone checks and change ui for sections")</f>
        <v/>
      </c>
      <c r="G1917" t="inlineStr">
        <is>
          <t>feat/moc-type-ui</t>
        </is>
      </c>
      <c r="H1917" t="inlineStr">
        <is>
          <t>sprint-18</t>
        </is>
      </c>
      <c r="I1917" t="inlineStr">
        <is>
          <t>merged</t>
        </is>
      </c>
      <c r="J1917" t="inlineStr">
        <is>
          <t>aed0564b5af2b8adee53de1466dbb124b9e57a18</t>
        </is>
      </c>
      <c r="K1917">
        <f>HYPERLINK("http://gitlab.osmosys.co/incident-reporter/incident-reporter-angular-portal/-/merge_requests/3587#note_241722", "Please give correct prefix - num-count-input")</f>
        <v/>
      </c>
      <c r="L1917" t="inlineStr">
        <is>
          <t>2025-07-25 10:23:28.176 IST</t>
        </is>
      </c>
      <c r="M1917" t="inlineStr">
        <is>
          <t>Soundariya B</t>
        </is>
      </c>
      <c r="N1917" t="inlineStr">
        <is>
          <t>Yes</t>
        </is>
      </c>
      <c r="O1917" t="inlineStr">
        <is>
          <t>Yes</t>
        </is>
      </c>
      <c r="P1917" t="inlineStr">
        <is>
          <t>Soundariya B</t>
        </is>
      </c>
      <c r="Q1917" t="inlineStr">
        <is>
          <t>Bad</t>
        </is>
      </c>
    </row>
    <row r="1918">
      <c r="A1918" t="inlineStr">
        <is>
          <t>hitesh.k</t>
        </is>
      </c>
      <c r="B1918" t="inlineStr">
        <is>
          <t>Hitesh Kandpal</t>
        </is>
      </c>
      <c r="C1918" t="inlineStr">
        <is>
          <t>hitesh.k@osmosys.co</t>
        </is>
      </c>
      <c r="D1918" t="inlineStr">
        <is>
          <t>incident-reporter</t>
        </is>
      </c>
      <c r="E1918">
        <f>HYPERLINK("http://gitlab.osmosys.co/incident-reporter/incident-reporter-angular-portal", "OQSHA Portal")</f>
        <v/>
      </c>
      <c r="F1918">
        <f>HYPERLINK("http://gitlab.osmosys.co/incident-reporter/incident-reporter-angular-portal/-/merge_requests/3587", "feat: add standalone checks and change ui for sections")</f>
        <v/>
      </c>
      <c r="G1918" t="inlineStr">
        <is>
          <t>feat/moc-type-ui</t>
        </is>
      </c>
      <c r="H1918" t="inlineStr">
        <is>
          <t>sprint-18</t>
        </is>
      </c>
      <c r="I1918" t="inlineStr">
        <is>
          <t>merged</t>
        </is>
      </c>
      <c r="J1918" t="inlineStr">
        <is>
          <t>aed0564b5af2b8adee53de1466dbb124b9e57a18</t>
        </is>
      </c>
      <c r="K1918">
        <f>HYPERLINK("http://gitlab.osmosys.co/incident-reporter/incident-reporter-angular-portal/-/merge_requests/3587#note_241907", "fixed")</f>
        <v/>
      </c>
      <c r="L1918" t="inlineStr">
        <is>
          <t>2025-07-25 16:24:57.320 IST</t>
        </is>
      </c>
      <c r="M1918" t="inlineStr">
        <is>
          <t>Hitesh Kandpal</t>
        </is>
      </c>
      <c r="N1918" t="inlineStr">
        <is>
          <t>No</t>
        </is>
      </c>
      <c r="O1918" t="inlineStr">
        <is>
          <t>Yes</t>
        </is>
      </c>
      <c r="P1918" t="inlineStr">
        <is>
          <t>Soundariya B</t>
        </is>
      </c>
      <c r="Q1918" t="inlineStr">
        <is>
          <t>Bad</t>
        </is>
      </c>
    </row>
    <row r="1919">
      <c r="A1919" t="inlineStr">
        <is>
          <t>hitesh.k</t>
        </is>
      </c>
      <c r="B1919" t="inlineStr">
        <is>
          <t>Hitesh Kandpal</t>
        </is>
      </c>
      <c r="C1919" t="inlineStr">
        <is>
          <t>hitesh.k@osmosys.co</t>
        </is>
      </c>
      <c r="D1919" t="inlineStr">
        <is>
          <t>incident-reporter</t>
        </is>
      </c>
      <c r="E1919">
        <f>HYPERLINK("http://gitlab.osmosys.co/incident-reporter/incident-reporter-angular-portal", "OQSHA Portal")</f>
        <v/>
      </c>
      <c r="F1919">
        <f>HYPERLINK("http://gitlab.osmosys.co/incident-reporter/incident-reporter-angular-portal/-/merge_requests/3587", "feat: add standalone checks and change ui for sections")</f>
        <v/>
      </c>
      <c r="G1919" t="inlineStr">
        <is>
          <t>feat/moc-type-ui</t>
        </is>
      </c>
      <c r="H1919" t="inlineStr">
        <is>
          <t>sprint-18</t>
        </is>
      </c>
      <c r="I1919" t="inlineStr">
        <is>
          <t>merged</t>
        </is>
      </c>
      <c r="J1919" t="inlineStr">
        <is>
          <t>d79b78abff2b07732e257eb550bb2288401185a3</t>
        </is>
      </c>
      <c r="K1919">
        <f>HYPERLINK("http://gitlab.osmosys.co/incident-reporter/incident-reporter-angular-portal/-/merge_requests/3587#note_241723", "Please use proper classname with correct prefix of the element type
color-dark{+ option-input-width -- This is not makes sense+}")</f>
        <v/>
      </c>
      <c r="L1919" t="inlineStr">
        <is>
          <t>2025-07-25 10:23:28.249 IST</t>
        </is>
      </c>
      <c r="M1919" t="inlineStr">
        <is>
          <t>Soundariya B</t>
        </is>
      </c>
      <c r="N1919" t="inlineStr">
        <is>
          <t>Yes</t>
        </is>
      </c>
      <c r="O1919" t="inlineStr">
        <is>
          <t>Yes</t>
        </is>
      </c>
      <c r="P1919" t="inlineStr">
        <is>
          <t>Soundariya B</t>
        </is>
      </c>
      <c r="Q1919" t="inlineStr">
        <is>
          <t>Bad</t>
        </is>
      </c>
    </row>
    <row r="1920">
      <c r="A1920" t="inlineStr">
        <is>
          <t>hitesh.k</t>
        </is>
      </c>
      <c r="B1920" t="inlineStr">
        <is>
          <t>Hitesh Kandpal</t>
        </is>
      </c>
      <c r="C1920" t="inlineStr">
        <is>
          <t>hitesh.k@osmosys.co</t>
        </is>
      </c>
      <c r="D1920" t="inlineStr">
        <is>
          <t>incident-reporter</t>
        </is>
      </c>
      <c r="E1920">
        <f>HYPERLINK("http://gitlab.osmosys.co/incident-reporter/incident-reporter-angular-portal", "OQSHA Portal")</f>
        <v/>
      </c>
      <c r="F1920">
        <f>HYPERLINK("http://gitlab.osmosys.co/incident-reporter/incident-reporter-angular-portal/-/merge_requests/3587", "feat: add standalone checks and change ui for sections")</f>
        <v/>
      </c>
      <c r="G1920" t="inlineStr">
        <is>
          <t>feat/moc-type-ui</t>
        </is>
      </c>
      <c r="H1920" t="inlineStr">
        <is>
          <t>sprint-18</t>
        </is>
      </c>
      <c r="I1920" t="inlineStr">
        <is>
          <t>merged</t>
        </is>
      </c>
      <c r="J1920" t="inlineStr">
        <is>
          <t>d79b78abff2b07732e257eb550bb2288401185a3</t>
        </is>
      </c>
      <c r="K1920">
        <f>HYPERLINK("http://gitlab.osmosys.co/incident-reporter/incident-reporter-angular-portal/-/merge_requests/3587#note_241908", "what doesn't make sense?
option-input-width is very descriptive that we are setting width of option input, still changed it to input-option-width")</f>
        <v/>
      </c>
      <c r="L1920" t="inlineStr">
        <is>
          <t>2025-07-25 16:25:41.448 IST</t>
        </is>
      </c>
      <c r="M1920" t="inlineStr">
        <is>
          <t>Hitesh Kandpal</t>
        </is>
      </c>
      <c r="N1920" t="inlineStr">
        <is>
          <t>No</t>
        </is>
      </c>
      <c r="O1920" t="inlineStr">
        <is>
          <t>Yes</t>
        </is>
      </c>
      <c r="P1920" t="inlineStr">
        <is>
          <t>Soundariya B</t>
        </is>
      </c>
      <c r="Q1920" t="inlineStr">
        <is>
          <t>Bad</t>
        </is>
      </c>
    </row>
    <row r="1921">
      <c r="A1921" t="inlineStr">
        <is>
          <t>hitesh.k</t>
        </is>
      </c>
      <c r="B1921" t="inlineStr">
        <is>
          <t>Hitesh Kandpal</t>
        </is>
      </c>
      <c r="C1921" t="inlineStr">
        <is>
          <t>hitesh.k@osmosys.co</t>
        </is>
      </c>
      <c r="D1921" t="inlineStr">
        <is>
          <t>incident-reporter</t>
        </is>
      </c>
      <c r="E1921">
        <f>HYPERLINK("http://gitlab.osmosys.co/incident-reporter/incident-reporter-angular-portal", "OQSHA Portal")</f>
        <v/>
      </c>
      <c r="F1921">
        <f>HYPERLINK("http://gitlab.osmosys.co/incident-reporter/incident-reporter-angular-portal/-/merge_requests/3587", "feat: add standalone checks and change ui for sections")</f>
        <v/>
      </c>
      <c r="G1921" t="inlineStr">
        <is>
          <t>feat/moc-type-ui</t>
        </is>
      </c>
      <c r="H1921" t="inlineStr">
        <is>
          <t>sprint-18</t>
        </is>
      </c>
      <c r="I1921" t="inlineStr">
        <is>
          <t>merged</t>
        </is>
      </c>
      <c r="J1921" t="inlineStr">
        <is>
          <t>ec1b17906a054eb1d684e309a6018f2162c2a95f</t>
        </is>
      </c>
      <c r="K1921">
        <f>HYPERLINK("http://gitlab.osmosys.co/incident-reporter/incident-reporter-angular-portal/-/merge_requests/3587#note_241724", "This is not recommended here with a shorthand value.")</f>
        <v/>
      </c>
      <c r="L1921" t="inlineStr">
        <is>
          <t>2025-07-25 10:23:28.363 IST</t>
        </is>
      </c>
      <c r="M1921" t="inlineStr">
        <is>
          <t>Soundariya B</t>
        </is>
      </c>
      <c r="N1921" t="inlineStr">
        <is>
          <t>Yes</t>
        </is>
      </c>
      <c r="O1921" t="inlineStr">
        <is>
          <t>Yes</t>
        </is>
      </c>
      <c r="P1921" t="inlineStr">
        <is>
          <t>Soundariya B</t>
        </is>
      </c>
      <c r="Q1921" t="inlineStr">
        <is>
          <t>Bad</t>
        </is>
      </c>
    </row>
    <row r="1922">
      <c r="A1922" t="inlineStr">
        <is>
          <t>hitesh.k</t>
        </is>
      </c>
      <c r="B1922" t="inlineStr">
        <is>
          <t>Hitesh Kandpal</t>
        </is>
      </c>
      <c r="C1922" t="inlineStr">
        <is>
          <t>hitesh.k@osmosys.co</t>
        </is>
      </c>
      <c r="D1922" t="inlineStr">
        <is>
          <t>incident-reporter</t>
        </is>
      </c>
      <c r="E1922">
        <f>HYPERLINK("http://gitlab.osmosys.co/incident-reporter/incident-reporter-angular-portal", "OQSHA Portal")</f>
        <v/>
      </c>
      <c r="F1922">
        <f>HYPERLINK("http://gitlab.osmosys.co/incident-reporter/incident-reporter-angular-portal/-/merge_requests/3587", "feat: add standalone checks and change ui for sections")</f>
        <v/>
      </c>
      <c r="G1922" t="inlineStr">
        <is>
          <t>feat/moc-type-ui</t>
        </is>
      </c>
      <c r="H1922" t="inlineStr">
        <is>
          <t>sprint-18</t>
        </is>
      </c>
      <c r="I1922" t="inlineStr">
        <is>
          <t>merged</t>
        </is>
      </c>
      <c r="J1922" t="inlineStr">
        <is>
          <t>ec1b17906a054eb1d684e309a6018f2162c2a95f</t>
        </is>
      </c>
      <c r="K1922">
        <f>HYPERLINK("http://gitlab.osmosys.co/incident-reporter/incident-reporter-angular-portal/-/merge_requests/3587#note_241910", "it's the shortest version we can get, i want to set margin to 0 for that one side, can't refactor it anymore, unless opposite side margins are same")</f>
        <v/>
      </c>
      <c r="L1922" t="inlineStr">
        <is>
          <t>2025-07-25 16:29:08.442 IST</t>
        </is>
      </c>
      <c r="M1922" t="inlineStr">
        <is>
          <t>Hitesh Kandpal</t>
        </is>
      </c>
      <c r="N1922" t="inlineStr">
        <is>
          <t>No</t>
        </is>
      </c>
      <c r="O1922" t="inlineStr">
        <is>
          <t>Yes</t>
        </is>
      </c>
      <c r="P1922" t="inlineStr">
        <is>
          <t>Soundariya B</t>
        </is>
      </c>
      <c r="Q1922" t="inlineStr">
        <is>
          <t>Bad</t>
        </is>
      </c>
    </row>
    <row r="1923">
      <c r="A1923" t="inlineStr">
        <is>
          <t>hitesh.k</t>
        </is>
      </c>
      <c r="B1923" t="inlineStr">
        <is>
          <t>Hitesh Kandpal</t>
        </is>
      </c>
      <c r="C1923" t="inlineStr">
        <is>
          <t>hitesh.k@osmosys.co</t>
        </is>
      </c>
      <c r="D1923" t="inlineStr">
        <is>
          <t>incident-reporter</t>
        </is>
      </c>
      <c r="E1923">
        <f>HYPERLINK("http://gitlab.osmosys.co/incident-reporter/incident-reporter-angular-portal", "OQSHA Portal")</f>
        <v/>
      </c>
      <c r="F1923">
        <f>HYPERLINK("http://gitlab.osmosys.co/incident-reporter/incident-reporter-angular-portal/-/merge_requests/3587", "feat: add standalone checks and change ui for sections")</f>
        <v/>
      </c>
      <c r="G1923" t="inlineStr">
        <is>
          <t>feat/moc-type-ui</t>
        </is>
      </c>
      <c r="H1923" t="inlineStr">
        <is>
          <t>sprint-18</t>
        </is>
      </c>
      <c r="I1923" t="inlineStr">
        <is>
          <t>merged</t>
        </is>
      </c>
      <c r="J1923" t="inlineStr">
        <is>
          <t>849d147a3c762af0167736d472153693c803b297</t>
        </is>
      </c>
      <c r="K1923">
        <f>HYPERLINK("http://gitlab.osmosys.co/incident-reporter/incident-reporter-angular-portal/-/merge_requests/3587#note_241725", "Remove unnecessary !important")</f>
        <v/>
      </c>
      <c r="L1923" t="inlineStr">
        <is>
          <t>2025-07-25 10:23:28.425 IST</t>
        </is>
      </c>
      <c r="M1923" t="inlineStr">
        <is>
          <t>Soundariya B</t>
        </is>
      </c>
      <c r="N1923" t="inlineStr">
        <is>
          <t>Yes</t>
        </is>
      </c>
      <c r="O1923" t="inlineStr">
        <is>
          <t>Yes</t>
        </is>
      </c>
      <c r="P1923" t="inlineStr">
        <is>
          <t>Soundariya B</t>
        </is>
      </c>
      <c r="Q1923" t="inlineStr">
        <is>
          <t>Bad</t>
        </is>
      </c>
    </row>
    <row r="1924">
      <c r="A1924" t="inlineStr">
        <is>
          <t>hitesh.k</t>
        </is>
      </c>
      <c r="B1924" t="inlineStr">
        <is>
          <t>Hitesh Kandpal</t>
        </is>
      </c>
      <c r="C1924" t="inlineStr">
        <is>
          <t>hitesh.k@osmosys.co</t>
        </is>
      </c>
      <c r="D1924" t="inlineStr">
        <is>
          <t>incident-reporter</t>
        </is>
      </c>
      <c r="E1924">
        <f>HYPERLINK("http://gitlab.osmosys.co/incident-reporter/incident-reporter-angular-portal", "OQSHA Portal")</f>
        <v/>
      </c>
      <c r="F1924">
        <f>HYPERLINK("http://gitlab.osmosys.co/incident-reporter/incident-reporter-angular-portal/-/merge_requests/3587", "feat: add standalone checks and change ui for sections")</f>
        <v/>
      </c>
      <c r="G1924" t="inlineStr">
        <is>
          <t>feat/moc-type-ui</t>
        </is>
      </c>
      <c r="H1924" t="inlineStr">
        <is>
          <t>sprint-18</t>
        </is>
      </c>
      <c r="I1924" t="inlineStr">
        <is>
          <t>merged</t>
        </is>
      </c>
      <c r="J1924" t="inlineStr">
        <is>
          <t>849d147a3c762af0167736d472153693c803b297</t>
        </is>
      </c>
      <c r="K1924">
        <f>HYPERLINK("http://gitlab.osmosys.co/incident-reporter/incident-reporter-angular-portal/-/merge_requests/3587#note_241912", "removed the class as it was not needed")</f>
        <v/>
      </c>
      <c r="L1924" t="inlineStr">
        <is>
          <t>2025-07-25 16:29:50.862 IST</t>
        </is>
      </c>
      <c r="M1924" t="inlineStr">
        <is>
          <t>Hitesh Kandpal</t>
        </is>
      </c>
      <c r="N1924" t="inlineStr">
        <is>
          <t>No</t>
        </is>
      </c>
      <c r="O1924" t="inlineStr">
        <is>
          <t>Yes</t>
        </is>
      </c>
      <c r="P1924" t="inlineStr">
        <is>
          <t>Soundariya B</t>
        </is>
      </c>
      <c r="Q1924" t="inlineStr">
        <is>
          <t>Bad</t>
        </is>
      </c>
    </row>
    <row r="1925">
      <c r="A1925" t="inlineStr">
        <is>
          <t>hitesh.k</t>
        </is>
      </c>
      <c r="B1925" t="inlineStr">
        <is>
          <t>Hitesh Kandpal</t>
        </is>
      </c>
      <c r="C1925" t="inlineStr">
        <is>
          <t>hitesh.k@osmosys.co</t>
        </is>
      </c>
      <c r="D1925" t="inlineStr">
        <is>
          <t>incident-reporter</t>
        </is>
      </c>
      <c r="E1925">
        <f>HYPERLINK("http://gitlab.osmosys.co/incident-reporter/incident-reporter-angular-portal", "OQSHA Portal")</f>
        <v/>
      </c>
      <c r="F1925">
        <f>HYPERLINK("http://gitlab.osmosys.co/incident-reporter/incident-reporter-angular-portal/-/merge_requests/3587", "feat: add standalone checks and change ui for sections")</f>
        <v/>
      </c>
      <c r="G1925" t="inlineStr">
        <is>
          <t>feat/moc-type-ui</t>
        </is>
      </c>
      <c r="H1925" t="inlineStr">
        <is>
          <t>sprint-18</t>
        </is>
      </c>
      <c r="I1925" t="inlineStr">
        <is>
          <t>merged</t>
        </is>
      </c>
      <c r="J1925" t="inlineStr">
        <is>
          <t>41222663130fbe1dbc4e271c8b82e55a8b6da2d3</t>
        </is>
      </c>
      <c r="K1925">
        <f>HYPERLINK("http://gitlab.osmosys.co/incident-reporter/incident-reporter-angular-portal/-/merge_requests/3587#note_241726", "I believe some of or all these must be there in global css so why can't you use that instead of added new CSS separately")</f>
        <v/>
      </c>
      <c r="L1925" t="inlineStr">
        <is>
          <t>2025-07-25 10:23:28.477 IST</t>
        </is>
      </c>
      <c r="M1925" t="inlineStr">
        <is>
          <t>Soundariya B</t>
        </is>
      </c>
      <c r="N1925" t="inlineStr">
        <is>
          <t>Yes</t>
        </is>
      </c>
      <c r="O1925" t="inlineStr">
        <is>
          <t>Yes</t>
        </is>
      </c>
      <c r="P1925" t="inlineStr">
        <is>
          <t>Soundariya B</t>
        </is>
      </c>
      <c r="Q1925" t="inlineStr">
        <is>
          <t>Bad</t>
        </is>
      </c>
    </row>
    <row r="1926">
      <c r="A1926" t="inlineStr">
        <is>
          <t>hitesh.k</t>
        </is>
      </c>
      <c r="B1926" t="inlineStr">
        <is>
          <t>Hitesh Kandpal</t>
        </is>
      </c>
      <c r="C1926" t="inlineStr">
        <is>
          <t>hitesh.k@osmosys.co</t>
        </is>
      </c>
      <c r="D1926" t="inlineStr">
        <is>
          <t>incident-reporter</t>
        </is>
      </c>
      <c r="E1926">
        <f>HYPERLINK("http://gitlab.osmosys.co/incident-reporter/incident-reporter-angular-portal", "OQSHA Portal")</f>
        <v/>
      </c>
      <c r="F1926">
        <f>HYPERLINK("http://gitlab.osmosys.co/incident-reporter/incident-reporter-angular-portal/-/merge_requests/3587", "feat: add standalone checks and change ui for sections")</f>
        <v/>
      </c>
      <c r="G1926" t="inlineStr">
        <is>
          <t>feat/moc-type-ui</t>
        </is>
      </c>
      <c r="H1926" t="inlineStr">
        <is>
          <t>sprint-18</t>
        </is>
      </c>
      <c r="I1926" t="inlineStr">
        <is>
          <t>merged</t>
        </is>
      </c>
      <c r="J1926" t="inlineStr">
        <is>
          <t>41222663130fbe1dbc4e271c8b82e55a8b6da2d3</t>
        </is>
      </c>
      <c r="K1926">
        <f>HYPERLINK("http://gitlab.osmosys.co/incident-reporter/incident-reporter-angular-portal/-/merge_requests/3587#note_241913", "nope these classes are not defined globally, every component have there custom classes as there might be different needs")</f>
        <v/>
      </c>
      <c r="L1926" t="inlineStr">
        <is>
          <t>2025-07-25 16:30:52.540 IST</t>
        </is>
      </c>
      <c r="M1926" t="inlineStr">
        <is>
          <t>Hitesh Kandpal</t>
        </is>
      </c>
      <c r="N1926" t="inlineStr">
        <is>
          <t>No</t>
        </is>
      </c>
      <c r="O1926" t="inlineStr">
        <is>
          <t>Yes</t>
        </is>
      </c>
      <c r="P1926" t="inlineStr">
        <is>
          <t>Soundariya B</t>
        </is>
      </c>
      <c r="Q1926" t="inlineStr">
        <is>
          <t>Bad</t>
        </is>
      </c>
    </row>
    <row r="1927">
      <c r="A1927" t="inlineStr">
        <is>
          <t>hitesh.k</t>
        </is>
      </c>
      <c r="B1927" t="inlineStr">
        <is>
          <t>Hitesh Kandpal</t>
        </is>
      </c>
      <c r="C1927" t="inlineStr">
        <is>
          <t>hitesh.k@osmosys.co</t>
        </is>
      </c>
      <c r="D1927" t="inlineStr">
        <is>
          <t>incident-reporter</t>
        </is>
      </c>
      <c r="E1927">
        <f>HYPERLINK("http://gitlab.osmosys.co/incident-reporter/incident-reporter-angular-portal", "OQSHA Portal")</f>
        <v/>
      </c>
      <c r="F1927">
        <f>HYPERLINK("http://gitlab.osmosys.co/incident-reporter/incident-reporter-angular-portal/-/merge_requests/3587", "feat: add standalone checks and change ui for sections")</f>
        <v/>
      </c>
      <c r="G1927" t="inlineStr">
        <is>
          <t>feat/moc-type-ui</t>
        </is>
      </c>
      <c r="H1927" t="inlineStr">
        <is>
          <t>sprint-18</t>
        </is>
      </c>
      <c r="I1927" t="inlineStr">
        <is>
          <t>merged</t>
        </is>
      </c>
      <c r="J1927" t="inlineStr">
        <is>
          <t>aa4638557e46f20d4d36c76e659b0c1c343472d2</t>
        </is>
      </c>
      <c r="K1927">
        <f>HYPERLINK("http://gitlab.osmosys.co/incident-reporter/incident-reporter-angular-portal/-/merge_requests/3587#note_241727", "Here padding: 0.75rem using very commonly and above we have already so please reuse it")</f>
        <v/>
      </c>
      <c r="L1927" t="inlineStr">
        <is>
          <t>2025-07-25 10:23:28.533 IST</t>
        </is>
      </c>
      <c r="M1927" t="inlineStr">
        <is>
          <t>Soundariya B</t>
        </is>
      </c>
      <c r="N1927" t="inlineStr">
        <is>
          <t>Yes</t>
        </is>
      </c>
      <c r="O1927" t="inlineStr">
        <is>
          <t>Yes</t>
        </is>
      </c>
      <c r="P1927" t="inlineStr">
        <is>
          <t>Soundariya B</t>
        </is>
      </c>
      <c r="Q1927" t="inlineStr">
        <is>
          <t>Bad</t>
        </is>
      </c>
    </row>
    <row r="1928">
      <c r="A1928" t="inlineStr">
        <is>
          <t>hitesh.k</t>
        </is>
      </c>
      <c r="B1928" t="inlineStr">
        <is>
          <t>Hitesh Kandpal</t>
        </is>
      </c>
      <c r="C1928" t="inlineStr">
        <is>
          <t>hitesh.k@osmosys.co</t>
        </is>
      </c>
      <c r="D1928" t="inlineStr">
        <is>
          <t>incident-reporter</t>
        </is>
      </c>
      <c r="E1928">
        <f>HYPERLINK("http://gitlab.osmosys.co/incident-reporter/incident-reporter-angular-portal", "OQSHA Portal")</f>
        <v/>
      </c>
      <c r="F1928">
        <f>HYPERLINK("http://gitlab.osmosys.co/incident-reporter/incident-reporter-angular-portal/-/merge_requests/3587", "feat: add standalone checks and change ui for sections")</f>
        <v/>
      </c>
      <c r="G1928" t="inlineStr">
        <is>
          <t>feat/moc-type-ui</t>
        </is>
      </c>
      <c r="H1928" t="inlineStr">
        <is>
          <t>sprint-18</t>
        </is>
      </c>
      <c r="I1928" t="inlineStr">
        <is>
          <t>merged</t>
        </is>
      </c>
      <c r="J1928" t="inlineStr">
        <is>
          <t>aa4638557e46f20d4d36c76e659b0c1c343472d2</t>
        </is>
      </c>
      <c r="K1928">
        <f>HYPERLINK("http://gitlab.osmosys.co/incident-reporter/incident-reporter-angular-portal/-/merge_requests/3587#note_241914", "here for w-45p, we don't need 0.75 rem in all side that's why it defined like this")</f>
        <v/>
      </c>
      <c r="L1928" t="inlineStr">
        <is>
          <t>2025-07-25 16:31:48.307 IST</t>
        </is>
      </c>
      <c r="M1928" t="inlineStr">
        <is>
          <t>Hitesh Kandpal</t>
        </is>
      </c>
      <c r="N1928" t="inlineStr">
        <is>
          <t>No</t>
        </is>
      </c>
      <c r="O1928" t="inlineStr">
        <is>
          <t>Yes</t>
        </is>
      </c>
      <c r="P1928" t="inlineStr">
        <is>
          <t>Soundariya B</t>
        </is>
      </c>
      <c r="Q1928" t="inlineStr">
        <is>
          <t>Bad</t>
        </is>
      </c>
    </row>
    <row r="1929">
      <c r="A1929" t="inlineStr">
        <is>
          <t>hitesh.k</t>
        </is>
      </c>
      <c r="B1929" t="inlineStr">
        <is>
          <t>Hitesh Kandpal</t>
        </is>
      </c>
      <c r="C1929" t="inlineStr">
        <is>
          <t>hitesh.k@osmosys.co</t>
        </is>
      </c>
      <c r="D1929" t="inlineStr">
        <is>
          <t>incident-reporter</t>
        </is>
      </c>
      <c r="E1929">
        <f>HYPERLINK("http://gitlab.osmosys.co/incident-reporter/incident-reporter-angular-portal", "OQSHA Portal")</f>
        <v/>
      </c>
      <c r="F1929">
        <f>HYPERLINK("http://gitlab.osmosys.co/incident-reporter/incident-reporter-angular-portal/-/merge_requests/3587", "feat: add standalone checks and change ui for sections")</f>
        <v/>
      </c>
      <c r="G1929" t="inlineStr">
        <is>
          <t>feat/moc-type-ui</t>
        </is>
      </c>
      <c r="H1929" t="inlineStr">
        <is>
          <t>sprint-18</t>
        </is>
      </c>
      <c r="I1929" t="inlineStr">
        <is>
          <t>merged</t>
        </is>
      </c>
      <c r="J1929" t="inlineStr">
        <is>
          <t>0ac06c46a6786fb2bd8949a18cebae22a1561730</t>
        </is>
      </c>
      <c r="K1929">
        <f>HYPERLINK("http://gitlab.osmosys.co/incident-reporter/incident-reporter-angular-portal/-/merge_requests/3587#note_241728", "Not recommended")</f>
        <v/>
      </c>
      <c r="L1929" t="inlineStr">
        <is>
          <t>2025-07-25 10:23:28.596 IST</t>
        </is>
      </c>
      <c r="M1929" t="inlineStr">
        <is>
          <t>Soundariya B</t>
        </is>
      </c>
      <c r="N1929" t="inlineStr">
        <is>
          <t>Yes</t>
        </is>
      </c>
      <c r="O1929" t="inlineStr">
        <is>
          <t>Yes</t>
        </is>
      </c>
      <c r="P1929" t="inlineStr">
        <is>
          <t>Soundariya B</t>
        </is>
      </c>
      <c r="Q1929" t="inlineStr">
        <is>
          <t>Bad</t>
        </is>
      </c>
    </row>
    <row r="1930">
      <c r="A1930" t="inlineStr">
        <is>
          <t>hitesh.k</t>
        </is>
      </c>
      <c r="B1930" t="inlineStr">
        <is>
          <t>Hitesh Kandpal</t>
        </is>
      </c>
      <c r="C1930" t="inlineStr">
        <is>
          <t>hitesh.k@osmosys.co</t>
        </is>
      </c>
      <c r="D1930" t="inlineStr">
        <is>
          <t>incident-reporter</t>
        </is>
      </c>
      <c r="E1930">
        <f>HYPERLINK("http://gitlab.osmosys.co/incident-reporter/incident-reporter-angular-portal", "OQSHA Portal")</f>
        <v/>
      </c>
      <c r="F1930">
        <f>HYPERLINK("http://gitlab.osmosys.co/incident-reporter/incident-reporter-angular-portal/-/merge_requests/3587", "feat: add standalone checks and change ui for sections")</f>
        <v/>
      </c>
      <c r="G1930" t="inlineStr">
        <is>
          <t>feat/moc-type-ui</t>
        </is>
      </c>
      <c r="H1930" t="inlineStr">
        <is>
          <t>sprint-18</t>
        </is>
      </c>
      <c r="I1930" t="inlineStr">
        <is>
          <t>merged</t>
        </is>
      </c>
      <c r="J1930" t="inlineStr">
        <is>
          <t>0ac06c46a6786fb2bd8949a18cebae22a1561730</t>
        </is>
      </c>
      <c r="K1930">
        <f>HYPERLINK("http://gitlab.osmosys.co/incident-reporter/incident-reporter-angular-portal/-/merge_requests/3587#note_241915", "removed it")</f>
        <v/>
      </c>
      <c r="L1930" t="inlineStr">
        <is>
          <t>2025-07-25 16:32:26.684 IST</t>
        </is>
      </c>
      <c r="M1930" t="inlineStr">
        <is>
          <t>Hitesh Kandpal</t>
        </is>
      </c>
      <c r="N1930" t="inlineStr">
        <is>
          <t>No</t>
        </is>
      </c>
      <c r="O1930" t="inlineStr">
        <is>
          <t>Yes</t>
        </is>
      </c>
      <c r="P1930" t="inlineStr">
        <is>
          <t>Soundariya B</t>
        </is>
      </c>
      <c r="Q1930" t="inlineStr">
        <is>
          <t>Bad</t>
        </is>
      </c>
    </row>
    <row r="1931">
      <c r="A1931" t="inlineStr">
        <is>
          <t>hitesh.k</t>
        </is>
      </c>
      <c r="B1931" t="inlineStr">
        <is>
          <t>Hitesh Kandpal</t>
        </is>
      </c>
      <c r="C1931" t="inlineStr">
        <is>
          <t>hitesh.k@osmosys.co</t>
        </is>
      </c>
      <c r="D1931" t="inlineStr">
        <is>
          <t>incident-reporter</t>
        </is>
      </c>
      <c r="E1931">
        <f>HYPERLINK("http://gitlab.osmosys.co/incident-reporter/incident-reporter-angular-portal", "OQSHA Portal")</f>
        <v/>
      </c>
      <c r="F1931">
        <f>HYPERLINK("http://gitlab.osmosys.co/incident-reporter/incident-reporter-angular-portal/-/merge_requests/3587", "feat: add standalone checks and change ui for sections")</f>
        <v/>
      </c>
      <c r="G1931" t="inlineStr">
        <is>
          <t>feat/moc-type-ui</t>
        </is>
      </c>
      <c r="H1931" t="inlineStr">
        <is>
          <t>sprint-18</t>
        </is>
      </c>
      <c r="I1931" t="inlineStr">
        <is>
          <t>merged</t>
        </is>
      </c>
      <c r="J1931" t="inlineStr">
        <is>
          <t>879d80610a925adbe6802b5feeb8238225178741</t>
        </is>
      </c>
      <c r="K1931">
        <f>HYPERLINK("http://gitlab.osmosys.co/incident-reporter/incident-reporter-angular-portal/-/merge_requests/3587#note_241729", "USER_TO_EDIT -- This should get from localstorage key object from constant file")</f>
        <v/>
      </c>
      <c r="L1931" t="inlineStr">
        <is>
          <t>2025-07-25 10:23:28.676 IST</t>
        </is>
      </c>
      <c r="M1931" t="inlineStr">
        <is>
          <t>Soundariya B</t>
        </is>
      </c>
      <c r="N1931" t="inlineStr">
        <is>
          <t>Yes</t>
        </is>
      </c>
      <c r="O1931" t="inlineStr">
        <is>
          <t>Yes</t>
        </is>
      </c>
      <c r="P1931" t="inlineStr">
        <is>
          <t>Soundariya B</t>
        </is>
      </c>
      <c r="Q1931" t="inlineStr">
        <is>
          <t>Bad</t>
        </is>
      </c>
    </row>
    <row r="1932">
      <c r="A1932" t="inlineStr">
        <is>
          <t>hitesh.k</t>
        </is>
      </c>
      <c r="B1932" t="inlineStr">
        <is>
          <t>Hitesh Kandpal</t>
        </is>
      </c>
      <c r="C1932" t="inlineStr">
        <is>
          <t>hitesh.k@osmosys.co</t>
        </is>
      </c>
      <c r="D1932" t="inlineStr">
        <is>
          <t>incident-reporter</t>
        </is>
      </c>
      <c r="E1932">
        <f>HYPERLINK("http://gitlab.osmosys.co/incident-reporter/incident-reporter-angular-portal", "OQSHA Portal")</f>
        <v/>
      </c>
      <c r="F1932">
        <f>HYPERLINK("http://gitlab.osmosys.co/incident-reporter/incident-reporter-angular-portal/-/merge_requests/3587", "feat: add standalone checks and change ui for sections")</f>
        <v/>
      </c>
      <c r="G1932" t="inlineStr">
        <is>
          <t>feat/moc-type-ui</t>
        </is>
      </c>
      <c r="H1932" t="inlineStr">
        <is>
          <t>sprint-18</t>
        </is>
      </c>
      <c r="I1932" t="inlineStr">
        <is>
          <t>merged</t>
        </is>
      </c>
      <c r="J1932" t="inlineStr">
        <is>
          <t>879d80610a925adbe6802b5feeb8238225178741</t>
        </is>
      </c>
      <c r="K1932">
        <f>HYPERLINK("http://gitlab.osmosys.co/incident-reporter/incident-reporter-angular-portal/-/merge_requests/3587#note_241937", "fixed")</f>
        <v/>
      </c>
      <c r="L1932" t="inlineStr">
        <is>
          <t>2025-07-25 17:08:22.377 IST</t>
        </is>
      </c>
      <c r="M1932" t="inlineStr">
        <is>
          <t>Hitesh Kandpal</t>
        </is>
      </c>
      <c r="N1932" t="inlineStr">
        <is>
          <t>No</t>
        </is>
      </c>
      <c r="O1932" t="inlineStr">
        <is>
          <t>Yes</t>
        </is>
      </c>
      <c r="P1932" t="inlineStr">
        <is>
          <t>Soundariya B</t>
        </is>
      </c>
      <c r="Q1932" t="inlineStr">
        <is>
          <t>Bad</t>
        </is>
      </c>
    </row>
    <row r="1933">
      <c r="A1933" t="inlineStr">
        <is>
          <t>hitesh.k</t>
        </is>
      </c>
      <c r="B1933" t="inlineStr">
        <is>
          <t>Hitesh Kandpal</t>
        </is>
      </c>
      <c r="C1933" t="inlineStr">
        <is>
          <t>hitesh.k@osmosys.co</t>
        </is>
      </c>
      <c r="D1933" t="inlineStr">
        <is>
          <t>incident-reporter</t>
        </is>
      </c>
      <c r="E1933">
        <f>HYPERLINK("http://gitlab.osmosys.co/incident-reporter/incident-reporter-angular-portal", "OQSHA Portal")</f>
        <v/>
      </c>
      <c r="F1933">
        <f>HYPERLINK("http://gitlab.osmosys.co/incident-reporter/incident-reporter-angular-portal/-/merge_requests/3587", "feat: add standalone checks and change ui for sections")</f>
        <v/>
      </c>
      <c r="G1933" t="inlineStr">
        <is>
          <t>feat/moc-type-ui</t>
        </is>
      </c>
      <c r="H1933" t="inlineStr">
        <is>
          <t>sprint-18</t>
        </is>
      </c>
      <c r="I1933" t="inlineStr">
        <is>
          <t>merged</t>
        </is>
      </c>
      <c r="J1933" t="inlineStr">
        <is>
          <t>72b61e50b55248c13a1c6611038face3602da5a0</t>
        </is>
      </c>
      <c r="K1933">
        <f>HYPERLINK("http://gitlab.osmosys.co/incident-reporter/incident-reporter-angular-portal/-/merge_requests/3587#note_241730", "Please take this formbuilder object initialization from ngOnInIt and then use it as default where its required as I can see you are using these lines of code more than 1 line")</f>
        <v/>
      </c>
      <c r="L1933" t="inlineStr">
        <is>
          <t>2025-07-25 10:23:28.747 IST</t>
        </is>
      </c>
      <c r="M1933" t="inlineStr">
        <is>
          <t>Soundariya B</t>
        </is>
      </c>
      <c r="N1933" t="inlineStr">
        <is>
          <t>Yes</t>
        </is>
      </c>
      <c r="O1933" t="inlineStr">
        <is>
          <t>Yes</t>
        </is>
      </c>
      <c r="P1933" t="inlineStr">
        <is>
          <t>Soundariya B</t>
        </is>
      </c>
      <c r="Q1933" t="inlineStr">
        <is>
          <t>Neutral</t>
        </is>
      </c>
    </row>
    <row r="1934">
      <c r="A1934" t="inlineStr">
        <is>
          <t>hitesh.k</t>
        </is>
      </c>
      <c r="B1934" t="inlineStr">
        <is>
          <t>Hitesh Kandpal</t>
        </is>
      </c>
      <c r="C1934" t="inlineStr">
        <is>
          <t>hitesh.k@osmosys.co</t>
        </is>
      </c>
      <c r="D1934" t="inlineStr">
        <is>
          <t>incident-reporter</t>
        </is>
      </c>
      <c r="E1934">
        <f>HYPERLINK("http://gitlab.osmosys.co/incident-reporter/incident-reporter-angular-portal", "OQSHA Portal")</f>
        <v/>
      </c>
      <c r="F1934">
        <f>HYPERLINK("http://gitlab.osmosys.co/incident-reporter/incident-reporter-angular-portal/-/merge_requests/3587", "feat: add standalone checks and change ui for sections")</f>
        <v/>
      </c>
      <c r="G1934" t="inlineStr">
        <is>
          <t>feat/moc-type-ui</t>
        </is>
      </c>
      <c r="H1934" t="inlineStr">
        <is>
          <t>sprint-18</t>
        </is>
      </c>
      <c r="I1934" t="inlineStr">
        <is>
          <t>merged</t>
        </is>
      </c>
      <c r="J1934" t="inlineStr">
        <is>
          <t>72b61e50b55248c13a1c6611038face3602da5a0</t>
        </is>
      </c>
      <c r="K1934">
        <f>HYPERLINK("http://gitlab.osmosys.co/incident-reporter/incident-reporter-angular-portal/-/merge_requests/3587#note_241938", "this is specifically for standalone checks, and this function is being used in ngoninit for initialization, can't combine it with existing logic since it's a separate thing and might need it's own customizations")</f>
        <v/>
      </c>
      <c r="L1934" t="inlineStr">
        <is>
          <t>2025-07-25 17:10:30.118 IST</t>
        </is>
      </c>
      <c r="M1934" t="inlineStr">
        <is>
          <t>Hitesh Kandpal</t>
        </is>
      </c>
      <c r="N1934" t="inlineStr">
        <is>
          <t>No</t>
        </is>
      </c>
      <c r="O1934" t="inlineStr">
        <is>
          <t>Yes</t>
        </is>
      </c>
      <c r="P1934" t="inlineStr">
        <is>
          <t>Soundariya B</t>
        </is>
      </c>
      <c r="Q1934" t="inlineStr">
        <is>
          <t>Neutral</t>
        </is>
      </c>
    </row>
    <row r="1935">
      <c r="A1935" t="inlineStr">
        <is>
          <t>hitesh.k</t>
        </is>
      </c>
      <c r="B1935" t="inlineStr">
        <is>
          <t>Hitesh Kandpal</t>
        </is>
      </c>
      <c r="C1935" t="inlineStr">
        <is>
          <t>hitesh.k@osmosys.co</t>
        </is>
      </c>
      <c r="D1935" t="inlineStr">
        <is>
          <t>incident-reporter</t>
        </is>
      </c>
      <c r="E1935">
        <f>HYPERLINK("http://gitlab.osmosys.co/incident-reporter/incident-reporter-angular-portal", "OQSHA Portal")</f>
        <v/>
      </c>
      <c r="F1935">
        <f>HYPERLINK("http://gitlab.osmosys.co/incident-reporter/incident-reporter-angular-portal/-/merge_requests/3587", "feat: add standalone checks and change ui for sections")</f>
        <v/>
      </c>
      <c r="G1935" t="inlineStr">
        <is>
          <t>feat/moc-type-ui</t>
        </is>
      </c>
      <c r="H1935" t="inlineStr">
        <is>
          <t>sprint-18</t>
        </is>
      </c>
      <c r="I1935" t="inlineStr">
        <is>
          <t>merged</t>
        </is>
      </c>
      <c r="J1935" t="inlineStr">
        <is>
          <t>825c9fb460ecadbf4379ae9a652054bf60eba572</t>
        </is>
      </c>
      <c r="K1935">
        <f>HYPERLINK("http://gitlab.osmosys.co/incident-reporter/incident-reporter-angular-portal/-/merge_requests/3587#note_241731", "Both are same please use anyone")</f>
        <v/>
      </c>
      <c r="L1935" t="inlineStr">
        <is>
          <t>2025-07-25 10:23:28.819 IST</t>
        </is>
      </c>
      <c r="M1935" t="inlineStr">
        <is>
          <t>Soundariya B</t>
        </is>
      </c>
      <c r="N1935" t="inlineStr">
        <is>
          <t>Yes</t>
        </is>
      </c>
      <c r="O1935" t="inlineStr">
        <is>
          <t>Yes</t>
        </is>
      </c>
      <c r="P1935" t="inlineStr">
        <is>
          <t>Soundariya B</t>
        </is>
      </c>
      <c r="Q1935" t="inlineStr">
        <is>
          <t>Neutral</t>
        </is>
      </c>
    </row>
    <row r="1936">
      <c r="A1936" t="inlineStr">
        <is>
          <t>hitesh.k</t>
        </is>
      </c>
      <c r="B1936" t="inlineStr">
        <is>
          <t>Hitesh Kandpal</t>
        </is>
      </c>
      <c r="C1936" t="inlineStr">
        <is>
          <t>hitesh.k@osmosys.co</t>
        </is>
      </c>
      <c r="D1936" t="inlineStr">
        <is>
          <t>incident-reporter</t>
        </is>
      </c>
      <c r="E1936">
        <f>HYPERLINK("http://gitlab.osmosys.co/incident-reporter/incident-reporter-angular-portal", "OQSHA Portal")</f>
        <v/>
      </c>
      <c r="F1936">
        <f>HYPERLINK("http://gitlab.osmosys.co/incident-reporter/incident-reporter-angular-portal/-/merge_requests/3587", "feat: add standalone checks and change ui for sections")</f>
        <v/>
      </c>
      <c r="G1936" t="inlineStr">
        <is>
          <t>feat/moc-type-ui</t>
        </is>
      </c>
      <c r="H1936" t="inlineStr">
        <is>
          <t>sprint-18</t>
        </is>
      </c>
      <c r="I1936" t="inlineStr">
        <is>
          <t>merged</t>
        </is>
      </c>
      <c r="J1936" t="inlineStr">
        <is>
          <t>825c9fb460ecadbf4379ae9a652054bf60eba572</t>
        </is>
      </c>
      <c r="K1936">
        <f>HYPERLINK("http://gitlab.osmosys.co/incident-reporter/incident-reporter-angular-portal/-/merge_requests/3587#note_241940", "need both, since it's for initializing options with two options, can't remove one")</f>
        <v/>
      </c>
      <c r="L1936" t="inlineStr">
        <is>
          <t>2025-07-25 17:11:39.043 IST</t>
        </is>
      </c>
      <c r="M1936" t="inlineStr">
        <is>
          <t>Hitesh Kandpal</t>
        </is>
      </c>
      <c r="N1936" t="inlineStr">
        <is>
          <t>No</t>
        </is>
      </c>
      <c r="O1936" t="inlineStr">
        <is>
          <t>Yes</t>
        </is>
      </c>
      <c r="P1936" t="inlineStr">
        <is>
          <t>Soundariya B</t>
        </is>
      </c>
      <c r="Q1936" t="inlineStr">
        <is>
          <t>Neutral</t>
        </is>
      </c>
    </row>
    <row r="1937">
      <c r="A1937" t="inlineStr">
        <is>
          <t>hitesh.k</t>
        </is>
      </c>
      <c r="B1937" t="inlineStr">
        <is>
          <t>Hitesh Kandpal</t>
        </is>
      </c>
      <c r="C1937" t="inlineStr">
        <is>
          <t>hitesh.k@osmosys.co</t>
        </is>
      </c>
      <c r="D1937" t="inlineStr">
        <is>
          <t>incident-reporter</t>
        </is>
      </c>
      <c r="E1937">
        <f>HYPERLINK("http://gitlab.osmosys.co/incident-reporter/incident-reporter-angular-portal", "OQSHA Portal")</f>
        <v/>
      </c>
      <c r="F1937">
        <f>HYPERLINK("http://gitlab.osmosys.co/incident-reporter/incident-reporter-angular-portal/-/merge_requests/3587", "feat: add standalone checks and change ui for sections")</f>
        <v/>
      </c>
      <c r="G1937" t="inlineStr">
        <is>
          <t>feat/moc-type-ui</t>
        </is>
      </c>
      <c r="H1937" t="inlineStr">
        <is>
          <t>sprint-18</t>
        </is>
      </c>
      <c r="I1937" t="inlineStr">
        <is>
          <t>merged</t>
        </is>
      </c>
      <c r="J1937" t="inlineStr">
        <is>
          <t>8b733503bc9d09ad05f466d2beaf7a8990a3e521</t>
        </is>
      </c>
      <c r="K1937">
        <f>HYPERLINK("http://gitlab.osmosys.co/incident-reporter/incident-reporter-angular-portal/-/merge_requests/3587#note_241732", "This function has more than 70 lines of code, which is very large. Please split the logic into multiple functions and use them. Please improve it")</f>
        <v/>
      </c>
      <c r="L1937" t="inlineStr">
        <is>
          <t>2025-07-25 10:23:28.892 IST</t>
        </is>
      </c>
      <c r="M1937" t="inlineStr">
        <is>
          <t>Soundariya B</t>
        </is>
      </c>
      <c r="N1937" t="inlineStr">
        <is>
          <t>Yes</t>
        </is>
      </c>
      <c r="O1937" t="inlineStr">
        <is>
          <t>Yes</t>
        </is>
      </c>
      <c r="P1937" t="inlineStr">
        <is>
          <t>Soundariya B</t>
        </is>
      </c>
      <c r="Q1937" t="inlineStr">
        <is>
          <t>Bad</t>
        </is>
      </c>
    </row>
    <row r="1938">
      <c r="A1938" t="inlineStr">
        <is>
          <t>hitesh.k</t>
        </is>
      </c>
      <c r="B1938" t="inlineStr">
        <is>
          <t>Hitesh Kandpal</t>
        </is>
      </c>
      <c r="C1938" t="inlineStr">
        <is>
          <t>hitesh.k@osmosys.co</t>
        </is>
      </c>
      <c r="D1938" t="inlineStr">
        <is>
          <t>incident-reporter</t>
        </is>
      </c>
      <c r="E1938">
        <f>HYPERLINK("http://gitlab.osmosys.co/incident-reporter/incident-reporter-angular-portal", "OQSHA Portal")</f>
        <v/>
      </c>
      <c r="F1938">
        <f>HYPERLINK("http://gitlab.osmosys.co/incident-reporter/incident-reporter-angular-portal/-/merge_requests/3587", "feat: add standalone checks and change ui for sections")</f>
        <v/>
      </c>
      <c r="G1938" t="inlineStr">
        <is>
          <t>feat/moc-type-ui</t>
        </is>
      </c>
      <c r="H1938" t="inlineStr">
        <is>
          <t>sprint-18</t>
        </is>
      </c>
      <c r="I1938" t="inlineStr">
        <is>
          <t>merged</t>
        </is>
      </c>
      <c r="J1938" t="inlineStr">
        <is>
          <t>8b733503bc9d09ad05f466d2beaf7a8990a3e521</t>
        </is>
      </c>
      <c r="K1938">
        <f>HYPERLINK("http://gitlab.osmosys.co/incident-reporter/incident-reporter-angular-portal/-/merge_requests/3587#note_242207", "fixed")</f>
        <v/>
      </c>
      <c r="L1938" t="inlineStr">
        <is>
          <t>2025-07-25 22:13:15.787 IST</t>
        </is>
      </c>
      <c r="M1938" t="inlineStr">
        <is>
          <t>Hitesh Kandpal</t>
        </is>
      </c>
      <c r="N1938" t="inlineStr">
        <is>
          <t>No</t>
        </is>
      </c>
      <c r="O1938" t="inlineStr">
        <is>
          <t>Yes</t>
        </is>
      </c>
      <c r="P1938" t="inlineStr">
        <is>
          <t>Soundariya B</t>
        </is>
      </c>
      <c r="Q1938" t="inlineStr">
        <is>
          <t>Bad</t>
        </is>
      </c>
    </row>
    <row r="1939">
      <c r="A1939" t="inlineStr">
        <is>
          <t>hitesh.k</t>
        </is>
      </c>
      <c r="B1939" t="inlineStr">
        <is>
          <t>Hitesh Kandpal</t>
        </is>
      </c>
      <c r="C1939" t="inlineStr">
        <is>
          <t>hitesh.k@osmosys.co</t>
        </is>
      </c>
      <c r="D1939" t="inlineStr">
        <is>
          <t>incident-reporter</t>
        </is>
      </c>
      <c r="E1939">
        <f>HYPERLINK("http://gitlab.osmosys.co/incident-reporter/incident-reporter-angular-portal", "OQSHA Portal")</f>
        <v/>
      </c>
      <c r="F1939">
        <f>HYPERLINK("http://gitlab.osmosys.co/incident-reporter/incident-reporter-angular-portal/-/merge_requests/3587", "feat: add standalone checks and change ui for sections")</f>
        <v/>
      </c>
      <c r="G1939" t="inlineStr">
        <is>
          <t>feat/moc-type-ui</t>
        </is>
      </c>
      <c r="H1939" t="inlineStr">
        <is>
          <t>sprint-18</t>
        </is>
      </c>
      <c r="I1939" t="inlineStr">
        <is>
          <t>merged</t>
        </is>
      </c>
      <c r="J1939" t="inlineStr">
        <is>
          <t>fd40e01f3636ab7492bd3331005fde1fbff28f0e</t>
        </is>
      </c>
      <c r="K1939">
        <f>HYPERLINK("http://gitlab.osmosys.co/incident-reporter/incident-reporter-angular-portal/-/merge_requests/3587#note_241733", "Please reuse and improve it
```
const controlsConfig = {
  role: new FormControl(null, Validators.required),
  department: new FormControl(null, Validators.required),
  declaration: new FormControl('', Validators.maxLength(500))
};
const applyValidators = (group: FormGroup, enable: boolean) =&gt; {
  Object.entries(controlsConfig).forEach(([key, control]) =&gt; {
    if (enable) {
      if (!group.get(key)) {
        group.addControl(key, control);
      } else {
        group.get(key)?.setValidators(control.validator);
      }
    } else {
      group.get(key)?.clearValidators();
    }
    group.get(key)?.updateValueAndValidity();
  });
};
// Example usage
if (condition) {
  applyValidators(checkGroup, true);
} else {
  applyValidators(check, false);
}
```
- DRY principle: Eliminated repetitive if checks for each control.
- Cleaner structure: Centralized control configuration using controlsConfig.
- Reusable logic: You can easily toggle validators for any form group with")</f>
        <v/>
      </c>
      <c r="L1939" t="inlineStr">
        <is>
          <t>2025-07-25 10:23:28.965 IST</t>
        </is>
      </c>
      <c r="M1939" t="inlineStr">
        <is>
          <t>Soundariya B</t>
        </is>
      </c>
      <c r="N1939" t="inlineStr">
        <is>
          <t>Yes</t>
        </is>
      </c>
      <c r="O1939" t="inlineStr">
        <is>
          <t>Yes</t>
        </is>
      </c>
      <c r="P1939" t="inlineStr">
        <is>
          <t>Soundariya B</t>
        </is>
      </c>
      <c r="Q1939" t="inlineStr">
        <is>
          <t>Bad</t>
        </is>
      </c>
    </row>
    <row r="1940">
      <c r="A1940" t="inlineStr">
        <is>
          <t>hitesh.k</t>
        </is>
      </c>
      <c r="B1940" t="inlineStr">
        <is>
          <t>Hitesh Kandpal</t>
        </is>
      </c>
      <c r="C1940" t="inlineStr">
        <is>
          <t>hitesh.k@osmosys.co</t>
        </is>
      </c>
      <c r="D1940" t="inlineStr">
        <is>
          <t>incident-reporter</t>
        </is>
      </c>
      <c r="E1940">
        <f>HYPERLINK("http://gitlab.osmosys.co/incident-reporter/incident-reporter-angular-portal", "OQSHA Portal")</f>
        <v/>
      </c>
      <c r="F1940">
        <f>HYPERLINK("http://gitlab.osmosys.co/incident-reporter/incident-reporter-angular-portal/-/merge_requests/3587", "feat: add standalone checks and change ui for sections")</f>
        <v/>
      </c>
      <c r="G1940" t="inlineStr">
        <is>
          <t>feat/moc-type-ui</t>
        </is>
      </c>
      <c r="H1940" t="inlineStr">
        <is>
          <t>sprint-18</t>
        </is>
      </c>
      <c r="I1940" t="inlineStr">
        <is>
          <t>merged</t>
        </is>
      </c>
      <c r="J1940" t="inlineStr">
        <is>
          <t>fd40e01f3636ab7492bd3331005fde1fbff28f0e</t>
        </is>
      </c>
      <c r="K1940">
        <f>HYPERLINK("http://gitlab.osmosys.co/incident-reporter/incident-reporter-angular-portal/-/merge_requests/3587#note_242206", "fixed")</f>
        <v/>
      </c>
      <c r="L1940" t="inlineStr">
        <is>
          <t>2025-07-25 22:13:10.937 IST</t>
        </is>
      </c>
      <c r="M1940" t="inlineStr">
        <is>
          <t>Hitesh Kandpal</t>
        </is>
      </c>
      <c r="N1940" t="inlineStr">
        <is>
          <t>No</t>
        </is>
      </c>
      <c r="O1940" t="inlineStr">
        <is>
          <t>Yes</t>
        </is>
      </c>
      <c r="P1940" t="inlineStr">
        <is>
          <t>Soundariya B</t>
        </is>
      </c>
      <c r="Q1940" t="inlineStr">
        <is>
          <t>Bad</t>
        </is>
      </c>
    </row>
    <row r="1941">
      <c r="A1941" t="inlineStr">
        <is>
          <t>hitesh.k</t>
        </is>
      </c>
      <c r="B1941" t="inlineStr">
        <is>
          <t>Hitesh Kandpal</t>
        </is>
      </c>
      <c r="C1941" t="inlineStr">
        <is>
          <t>hitesh.k@osmosys.co</t>
        </is>
      </c>
      <c r="D1941" t="inlineStr">
        <is>
          <t>incident-reporter</t>
        </is>
      </c>
      <c r="E1941">
        <f>HYPERLINK("http://gitlab.osmosys.co/incident-reporter/incident-reporter-angular-portal", "OQSHA Portal")</f>
        <v/>
      </c>
      <c r="F1941">
        <f>HYPERLINK("http://gitlab.osmosys.co/incident-reporter/incident-reporter-angular-portal/-/merge_requests/3587", "feat: add standalone checks and change ui for sections")</f>
        <v/>
      </c>
      <c r="G1941" t="inlineStr">
        <is>
          <t>feat/moc-type-ui</t>
        </is>
      </c>
      <c r="H1941" t="inlineStr">
        <is>
          <t>sprint-18</t>
        </is>
      </c>
      <c r="I1941" t="inlineStr">
        <is>
          <t>merged</t>
        </is>
      </c>
      <c r="J1941" t="inlineStr">
        <is>
          <t>efcd319c9d4b6cfcdd7a60853a736f85fa442083</t>
        </is>
      </c>
      <c r="K1941">
        <f>HYPERLINK("http://gitlab.osmosys.co/incident-reporter/incident-reporter-angular-portal/-/merge_requests/3587#note_241734", "Take the hardcoded value from lang files")</f>
        <v/>
      </c>
      <c r="L1941" t="inlineStr">
        <is>
          <t>2025-07-25 10:23:29.043 IST</t>
        </is>
      </c>
      <c r="M1941" t="inlineStr">
        <is>
          <t>Soundariya B</t>
        </is>
      </c>
      <c r="N1941" t="inlineStr">
        <is>
          <t>Yes</t>
        </is>
      </c>
      <c r="O1941" t="inlineStr">
        <is>
          <t>Yes</t>
        </is>
      </c>
      <c r="P1941" t="inlineStr">
        <is>
          <t>Soundariya B</t>
        </is>
      </c>
      <c r="Q1941" t="inlineStr">
        <is>
          <t>Bad</t>
        </is>
      </c>
    </row>
    <row r="1942">
      <c r="A1942" t="inlineStr">
        <is>
          <t>hitesh.k</t>
        </is>
      </c>
      <c r="B1942" t="inlineStr">
        <is>
          <t>Hitesh Kandpal</t>
        </is>
      </c>
      <c r="C1942" t="inlineStr">
        <is>
          <t>hitesh.k@osmosys.co</t>
        </is>
      </c>
      <c r="D1942" t="inlineStr">
        <is>
          <t>incident-reporter</t>
        </is>
      </c>
      <c r="E1942">
        <f>HYPERLINK("http://gitlab.osmosys.co/incident-reporter/incident-reporter-angular-portal", "OQSHA Portal")</f>
        <v/>
      </c>
      <c r="F1942">
        <f>HYPERLINK("http://gitlab.osmosys.co/incident-reporter/incident-reporter-angular-portal/-/merge_requests/3587", "feat: add standalone checks and change ui for sections")</f>
        <v/>
      </c>
      <c r="G1942" t="inlineStr">
        <is>
          <t>feat/moc-type-ui</t>
        </is>
      </c>
      <c r="H1942" t="inlineStr">
        <is>
          <t>sprint-18</t>
        </is>
      </c>
      <c r="I1942" t="inlineStr">
        <is>
          <t>merged</t>
        </is>
      </c>
      <c r="J1942" t="inlineStr">
        <is>
          <t>efcd319c9d4b6cfcdd7a60853a736f85fa442083</t>
        </is>
      </c>
      <c r="K1942">
        <f>HYPERLINK("http://gitlab.osmosys.co/incident-reporter/incident-reporter-angular-portal/-/merge_requests/3587#note_242002", "fixed")</f>
        <v/>
      </c>
      <c r="L1942" t="inlineStr">
        <is>
          <t>2025-07-25 18:45:16.350 IST</t>
        </is>
      </c>
      <c r="M1942" t="inlineStr">
        <is>
          <t>Hitesh Kandpal</t>
        </is>
      </c>
      <c r="N1942" t="inlineStr">
        <is>
          <t>No</t>
        </is>
      </c>
      <c r="O1942" t="inlineStr">
        <is>
          <t>Yes</t>
        </is>
      </c>
      <c r="P1942" t="inlineStr">
        <is>
          <t>Soundariya B</t>
        </is>
      </c>
      <c r="Q1942" t="inlineStr">
        <is>
          <t>Bad</t>
        </is>
      </c>
    </row>
    <row r="1943">
      <c r="A1943" t="inlineStr">
        <is>
          <t>hitesh.k</t>
        </is>
      </c>
      <c r="B1943" t="inlineStr">
        <is>
          <t>Hitesh Kandpal</t>
        </is>
      </c>
      <c r="C1943" t="inlineStr">
        <is>
          <t>hitesh.k@osmosys.co</t>
        </is>
      </c>
      <c r="D1943" t="inlineStr">
        <is>
          <t>incident-reporter</t>
        </is>
      </c>
      <c r="E1943">
        <f>HYPERLINK("http://gitlab.osmosys.co/incident-reporter/incident-reporter-angular-portal", "OQSHA Portal")</f>
        <v/>
      </c>
      <c r="F1943">
        <f>HYPERLINK("http://gitlab.osmosys.co/incident-reporter/incident-reporter-angular-portal/-/merge_requests/3587", "feat: add standalone checks and change ui for sections")</f>
        <v/>
      </c>
      <c r="G1943" t="inlineStr">
        <is>
          <t>feat/moc-type-ui</t>
        </is>
      </c>
      <c r="H1943" t="inlineStr">
        <is>
          <t>sprint-18</t>
        </is>
      </c>
      <c r="I1943" t="inlineStr">
        <is>
          <t>merged</t>
        </is>
      </c>
      <c r="J1943" t="inlineStr">
        <is>
          <t>cd835f3759722e1121613e4e1d172a17045ca122</t>
        </is>
      </c>
      <c r="K1943">
        <f>HYPERLINK("http://gitlab.osmosys.co/incident-reporter/incident-reporter-angular-portal/-/merge_requests/3587#note_241735", "Use block structure")</f>
        <v/>
      </c>
      <c r="L1943" t="inlineStr">
        <is>
          <t>2025-07-25 10:23:29.114 IST</t>
        </is>
      </c>
      <c r="M1943" t="inlineStr">
        <is>
          <t>Soundariya B</t>
        </is>
      </c>
      <c r="N1943" t="inlineStr">
        <is>
          <t>Yes</t>
        </is>
      </c>
      <c r="O1943" t="inlineStr">
        <is>
          <t>Yes</t>
        </is>
      </c>
      <c r="P1943" t="inlineStr">
        <is>
          <t>Soundariya B</t>
        </is>
      </c>
      <c r="Q1943" t="inlineStr">
        <is>
          <t>Bad</t>
        </is>
      </c>
    </row>
    <row r="1944">
      <c r="A1944" t="inlineStr">
        <is>
          <t>hitesh.k</t>
        </is>
      </c>
      <c r="B1944" t="inlineStr">
        <is>
          <t>Hitesh Kandpal</t>
        </is>
      </c>
      <c r="C1944" t="inlineStr">
        <is>
          <t>hitesh.k@osmosys.co</t>
        </is>
      </c>
      <c r="D1944" t="inlineStr">
        <is>
          <t>incident-reporter</t>
        </is>
      </c>
      <c r="E1944">
        <f>HYPERLINK("http://gitlab.osmosys.co/incident-reporter/incident-reporter-angular-portal", "OQSHA Portal")</f>
        <v/>
      </c>
      <c r="F1944">
        <f>HYPERLINK("http://gitlab.osmosys.co/incident-reporter/incident-reporter-angular-portal/-/merge_requests/3587", "feat: add standalone checks and change ui for sections")</f>
        <v/>
      </c>
      <c r="G1944" t="inlineStr">
        <is>
          <t>feat/moc-type-ui</t>
        </is>
      </c>
      <c r="H1944" t="inlineStr">
        <is>
          <t>sprint-18</t>
        </is>
      </c>
      <c r="I1944" t="inlineStr">
        <is>
          <t>merged</t>
        </is>
      </c>
      <c r="J1944" t="inlineStr">
        <is>
          <t>cd835f3759722e1121613e4e1d172a17045ca122</t>
        </is>
      </c>
      <c r="K1944">
        <f>HYPERLINK("http://gitlab.osmosys.co/incident-reporter/incident-reporter-angular-portal/-/merge_requests/3587#note_242003", "fixed")</f>
        <v/>
      </c>
      <c r="L1944" t="inlineStr">
        <is>
          <t>2025-07-25 18:45:37.682 IST</t>
        </is>
      </c>
      <c r="M1944" t="inlineStr">
        <is>
          <t>Hitesh Kandpal</t>
        </is>
      </c>
      <c r="N1944" t="inlineStr">
        <is>
          <t>No</t>
        </is>
      </c>
      <c r="O1944" t="inlineStr">
        <is>
          <t>Yes</t>
        </is>
      </c>
      <c r="P1944" t="inlineStr">
        <is>
          <t>Soundariya B</t>
        </is>
      </c>
      <c r="Q1944" t="inlineStr">
        <is>
          <t>Bad</t>
        </is>
      </c>
    </row>
    <row r="1945">
      <c r="A1945" t="inlineStr">
        <is>
          <t>hitesh.k</t>
        </is>
      </c>
      <c r="B1945" t="inlineStr">
        <is>
          <t>Hitesh Kandpal</t>
        </is>
      </c>
      <c r="C1945" t="inlineStr">
        <is>
          <t>hitesh.k@osmosys.co</t>
        </is>
      </c>
      <c r="D1945" t="inlineStr">
        <is>
          <t>incident-reporter</t>
        </is>
      </c>
      <c r="E1945">
        <f>HYPERLINK("http://gitlab.osmosys.co/incident-reporter/incident-reporter-angular-portal", "OQSHA Portal")</f>
        <v/>
      </c>
      <c r="F1945">
        <f>HYPERLINK("http://gitlab.osmosys.co/incident-reporter/incident-reporter-angular-portal/-/merge_requests/3587", "feat: add standalone checks and change ui for sections")</f>
        <v/>
      </c>
      <c r="G1945" t="inlineStr">
        <is>
          <t>feat/moc-type-ui</t>
        </is>
      </c>
      <c r="H1945" t="inlineStr">
        <is>
          <t>sprint-18</t>
        </is>
      </c>
      <c r="I1945" t="inlineStr">
        <is>
          <t>merged</t>
        </is>
      </c>
      <c r="J1945" t="inlineStr">
        <is>
          <t>1f900f741045e4b67b6490319ecc505b1cf7f31c</t>
        </is>
      </c>
      <c r="K1945">
        <f>HYPERLINK("http://gitlab.osmosys.co/incident-reporter/incident-reporter-angular-portal/-/merge_requests/3587#note_241736", "Use meaningful variable names")</f>
        <v/>
      </c>
      <c r="L1945" t="inlineStr">
        <is>
          <t>2025-07-25 10:23:29.185 IST</t>
        </is>
      </c>
      <c r="M1945" t="inlineStr">
        <is>
          <t>Soundariya B</t>
        </is>
      </c>
      <c r="N1945" t="inlineStr">
        <is>
          <t>Yes</t>
        </is>
      </c>
      <c r="O1945" t="inlineStr">
        <is>
          <t>Yes</t>
        </is>
      </c>
      <c r="P1945" t="inlineStr">
        <is>
          <t>Soundariya B</t>
        </is>
      </c>
      <c r="Q1945" t="inlineStr">
        <is>
          <t>Bad</t>
        </is>
      </c>
    </row>
    <row r="1946">
      <c r="A1946" t="inlineStr">
        <is>
          <t>hitesh.k</t>
        </is>
      </c>
      <c r="B1946" t="inlineStr">
        <is>
          <t>Hitesh Kandpal</t>
        </is>
      </c>
      <c r="C1946" t="inlineStr">
        <is>
          <t>hitesh.k@osmosys.co</t>
        </is>
      </c>
      <c r="D1946" t="inlineStr">
        <is>
          <t>incident-reporter</t>
        </is>
      </c>
      <c r="E1946">
        <f>HYPERLINK("http://gitlab.osmosys.co/incident-reporter/incident-reporter-angular-portal", "OQSHA Portal")</f>
        <v/>
      </c>
      <c r="F1946">
        <f>HYPERLINK("http://gitlab.osmosys.co/incident-reporter/incident-reporter-angular-portal/-/merge_requests/3587", "feat: add standalone checks and change ui for sections")</f>
        <v/>
      </c>
      <c r="G1946" t="inlineStr">
        <is>
          <t>feat/moc-type-ui</t>
        </is>
      </c>
      <c r="H1946" t="inlineStr">
        <is>
          <t>sprint-18</t>
        </is>
      </c>
      <c r="I1946" t="inlineStr">
        <is>
          <t>merged</t>
        </is>
      </c>
      <c r="J1946" t="inlineStr">
        <is>
          <t>1f900f741045e4b67b6490319ecc505b1cf7f31c</t>
        </is>
      </c>
      <c r="K1946">
        <f>HYPERLINK("http://gitlab.osmosys.co/incident-reporter/incident-reporter-angular-portal/-/merge_requests/3587#note_242005", "fixed")</f>
        <v/>
      </c>
      <c r="L1946" t="inlineStr">
        <is>
          <t>2025-07-25 18:46:14.170 IST</t>
        </is>
      </c>
      <c r="M1946" t="inlineStr">
        <is>
          <t>Hitesh Kandpal</t>
        </is>
      </c>
      <c r="N1946" t="inlineStr">
        <is>
          <t>No</t>
        </is>
      </c>
      <c r="O1946" t="inlineStr">
        <is>
          <t>Yes</t>
        </is>
      </c>
      <c r="P1946" t="inlineStr">
        <is>
          <t>Soundariya B</t>
        </is>
      </c>
      <c r="Q1946" t="inlineStr">
        <is>
          <t>Bad</t>
        </is>
      </c>
    </row>
    <row r="1947">
      <c r="A1947" t="inlineStr">
        <is>
          <t>hitesh.k</t>
        </is>
      </c>
      <c r="B1947" t="inlineStr">
        <is>
          <t>Hitesh Kandpal</t>
        </is>
      </c>
      <c r="C1947" t="inlineStr">
        <is>
          <t>hitesh.k@osmosys.co</t>
        </is>
      </c>
      <c r="D1947" t="inlineStr">
        <is>
          <t>incident-reporter</t>
        </is>
      </c>
      <c r="E1947">
        <f>HYPERLINK("http://gitlab.osmosys.co/incident-reporter/incident-reporter-angular-portal", "OQSHA Portal")</f>
        <v/>
      </c>
      <c r="F1947">
        <f>HYPERLINK("http://gitlab.osmosys.co/incident-reporter/incident-reporter-angular-portal/-/merge_requests/3587", "feat: add standalone checks and change ui for sections")</f>
        <v/>
      </c>
      <c r="G1947" t="inlineStr">
        <is>
          <t>feat/moc-type-ui</t>
        </is>
      </c>
      <c r="H1947" t="inlineStr">
        <is>
          <t>sprint-18</t>
        </is>
      </c>
      <c r="I1947" t="inlineStr">
        <is>
          <t>merged</t>
        </is>
      </c>
      <c r="J1947" t="inlineStr">
        <is>
          <t>ea0e4490537dae3735a2acd0372f372124d62d29</t>
        </is>
      </c>
      <c r="K1947">
        <f>HYPERLINK("http://gitlab.osmosys.co/incident-reporter/incident-reporter-angular-portal/-/merge_requests/3587#note_241737", "Both are same and duplicated one please remove anyone")</f>
        <v/>
      </c>
      <c r="L1947" t="inlineStr">
        <is>
          <t>2025-07-25 10:23:29.266 IST</t>
        </is>
      </c>
      <c r="M1947" t="inlineStr">
        <is>
          <t>Soundariya B</t>
        </is>
      </c>
      <c r="N1947" t="inlineStr">
        <is>
          <t>Yes</t>
        </is>
      </c>
      <c r="O1947" t="inlineStr">
        <is>
          <t>Yes</t>
        </is>
      </c>
      <c r="P1947" t="inlineStr">
        <is>
          <t>Soundariya B</t>
        </is>
      </c>
      <c r="Q1947" t="inlineStr">
        <is>
          <t>Neutral</t>
        </is>
      </c>
    </row>
    <row r="1948">
      <c r="A1948" t="inlineStr">
        <is>
          <t>hitesh.k</t>
        </is>
      </c>
      <c r="B1948" t="inlineStr">
        <is>
          <t>Hitesh Kandpal</t>
        </is>
      </c>
      <c r="C1948" t="inlineStr">
        <is>
          <t>hitesh.k@osmosys.co</t>
        </is>
      </c>
      <c r="D1948" t="inlineStr">
        <is>
          <t>incident-reporter</t>
        </is>
      </c>
      <c r="E1948">
        <f>HYPERLINK("http://gitlab.osmosys.co/incident-reporter/incident-reporter-angular-portal", "OQSHA Portal")</f>
        <v/>
      </c>
      <c r="F1948">
        <f>HYPERLINK("http://gitlab.osmosys.co/incident-reporter/incident-reporter-angular-portal/-/merge_requests/3587", "feat: add standalone checks and change ui for sections")</f>
        <v/>
      </c>
      <c r="G1948" t="inlineStr">
        <is>
          <t>feat/moc-type-ui</t>
        </is>
      </c>
      <c r="H1948" t="inlineStr">
        <is>
          <t>sprint-18</t>
        </is>
      </c>
      <c r="I1948" t="inlineStr">
        <is>
          <t>merged</t>
        </is>
      </c>
      <c r="J1948" t="inlineStr">
        <is>
          <t>ea0e4490537dae3735a2acd0372f372124d62d29</t>
        </is>
      </c>
      <c r="K1948">
        <f>HYPERLINK("http://gitlab.osmosys.co/incident-reporter/incident-reporter-angular-portal/-/merge_requests/3587#note_241750", "it's done on purpose, we need to push two options on initialization, nothing is wrong here")</f>
        <v/>
      </c>
      <c r="L1948" t="inlineStr">
        <is>
          <t>2025-07-25 10:54:43.272 IST</t>
        </is>
      </c>
      <c r="M1948" t="inlineStr">
        <is>
          <t>Hitesh Kandpal</t>
        </is>
      </c>
      <c r="N1948" t="inlineStr">
        <is>
          <t>No</t>
        </is>
      </c>
      <c r="O1948" t="inlineStr">
        <is>
          <t>Yes</t>
        </is>
      </c>
      <c r="P1948" t="inlineStr">
        <is>
          <t>Soundariya B</t>
        </is>
      </c>
      <c r="Q1948" t="inlineStr">
        <is>
          <t>Neutral</t>
        </is>
      </c>
    </row>
    <row r="1949">
      <c r="A1949" t="inlineStr">
        <is>
          <t>hitesh.k</t>
        </is>
      </c>
      <c r="B1949" t="inlineStr">
        <is>
          <t>Hitesh Kandpal</t>
        </is>
      </c>
      <c r="C1949" t="inlineStr">
        <is>
          <t>hitesh.k@osmosys.co</t>
        </is>
      </c>
      <c r="D1949" t="inlineStr">
        <is>
          <t>incident-reporter</t>
        </is>
      </c>
      <c r="E1949">
        <f>HYPERLINK("http://gitlab.osmosys.co/incident-reporter/incident-reporter-angular-portal", "OQSHA Portal")</f>
        <v/>
      </c>
      <c r="F1949">
        <f>HYPERLINK("http://gitlab.osmosys.co/incident-reporter/incident-reporter-angular-portal/-/merge_requests/3587", "feat: add standalone checks and change ui for sections")</f>
        <v/>
      </c>
      <c r="G1949" t="inlineStr">
        <is>
          <t>feat/moc-type-ui</t>
        </is>
      </c>
      <c r="H1949" t="inlineStr">
        <is>
          <t>sprint-18</t>
        </is>
      </c>
      <c r="I1949" t="inlineStr">
        <is>
          <t>merged</t>
        </is>
      </c>
      <c r="J1949" t="inlineStr">
        <is>
          <t>bc23d893f04f1d8ddcb3826f67b4af4cdc376f19</t>
        </is>
      </c>
      <c r="K1949">
        <f>HYPERLINK("http://gitlab.osmosys.co/incident-reporter/incident-reporter-angular-portal/-/merge_requests/3587#note_241738", "SectionName showing on UI right then it should get from lang files -- Fix it everywhere")</f>
        <v/>
      </c>
      <c r="L1949" t="inlineStr">
        <is>
          <t>2025-07-25 10:23:29.337 IST</t>
        </is>
      </c>
      <c r="M1949" t="inlineStr">
        <is>
          <t>Soundariya B</t>
        </is>
      </c>
      <c r="N1949" t="inlineStr">
        <is>
          <t>Yes</t>
        </is>
      </c>
      <c r="O1949" t="inlineStr">
        <is>
          <t>Yes</t>
        </is>
      </c>
      <c r="P1949" t="inlineStr">
        <is>
          <t>Soundariya B</t>
        </is>
      </c>
      <c r="Q1949" t="inlineStr">
        <is>
          <t>Bad</t>
        </is>
      </c>
    </row>
    <row r="1950">
      <c r="A1950" t="inlineStr">
        <is>
          <t>hitesh.k</t>
        </is>
      </c>
      <c r="B1950" t="inlineStr">
        <is>
          <t>Hitesh Kandpal</t>
        </is>
      </c>
      <c r="C1950" t="inlineStr">
        <is>
          <t>hitesh.k@osmosys.co</t>
        </is>
      </c>
      <c r="D1950" t="inlineStr">
        <is>
          <t>incident-reporter</t>
        </is>
      </c>
      <c r="E1950">
        <f>HYPERLINK("http://gitlab.osmosys.co/incident-reporter/incident-reporter-angular-portal", "OQSHA Portal")</f>
        <v/>
      </c>
      <c r="F1950">
        <f>HYPERLINK("http://gitlab.osmosys.co/incident-reporter/incident-reporter-angular-portal/-/merge_requests/3587", "feat: add standalone checks and change ui for sections")</f>
        <v/>
      </c>
      <c r="G1950" t="inlineStr">
        <is>
          <t>feat/moc-type-ui</t>
        </is>
      </c>
      <c r="H1950" t="inlineStr">
        <is>
          <t>sprint-18</t>
        </is>
      </c>
      <c r="I1950" t="inlineStr">
        <is>
          <t>merged</t>
        </is>
      </c>
      <c r="J1950" t="inlineStr">
        <is>
          <t>bc23d893f04f1d8ddcb3826f67b4af4cdc376f19</t>
        </is>
      </c>
      <c r="K1950">
        <f>HYPERLINK("http://gitlab.osmosys.co/incident-reporter/incident-reporter-angular-portal/-/merge_requests/3587#note_242008", "fixed")</f>
        <v/>
      </c>
      <c r="L1950" t="inlineStr">
        <is>
          <t>2025-07-25 18:49:17.320 IST</t>
        </is>
      </c>
      <c r="M1950" t="inlineStr">
        <is>
          <t>Hitesh Kandpal</t>
        </is>
      </c>
      <c r="N1950" t="inlineStr">
        <is>
          <t>No</t>
        </is>
      </c>
      <c r="O1950" t="inlineStr">
        <is>
          <t>Yes</t>
        </is>
      </c>
      <c r="P1950" t="inlineStr">
        <is>
          <t>Soundariya B</t>
        </is>
      </c>
      <c r="Q1950" t="inlineStr">
        <is>
          <t>Bad</t>
        </is>
      </c>
    </row>
    <row r="1951">
      <c r="A1951" t="inlineStr">
        <is>
          <t>hitesh.k</t>
        </is>
      </c>
      <c r="B1951" t="inlineStr">
        <is>
          <t>Hitesh Kandpal</t>
        </is>
      </c>
      <c r="C1951" t="inlineStr">
        <is>
          <t>hitesh.k@osmosys.co</t>
        </is>
      </c>
      <c r="D1951" t="inlineStr">
        <is>
          <t>incident-reporter</t>
        </is>
      </c>
      <c r="E1951">
        <f>HYPERLINK("http://gitlab.osmosys.co/incident-reporter/incident-reporter-angular-portal", "OQSHA Portal")</f>
        <v/>
      </c>
      <c r="F1951">
        <f>HYPERLINK("http://gitlab.osmosys.co/incident-reporter/incident-reporter-angular-portal/-/merge_requests/3587", "feat: add standalone checks and change ui for sections")</f>
        <v/>
      </c>
      <c r="G1951" t="inlineStr">
        <is>
          <t>feat/moc-type-ui</t>
        </is>
      </c>
      <c r="H1951" t="inlineStr">
        <is>
          <t>sprint-18</t>
        </is>
      </c>
      <c r="I1951" t="inlineStr">
        <is>
          <t>merged</t>
        </is>
      </c>
      <c r="J1951" t="inlineStr">
        <is>
          <t>5af13ec4d7353d04e685fadae38c64123ac743c2</t>
        </is>
      </c>
      <c r="K1951">
        <f>HYPERLINK("http://gitlab.osmosys.co/incident-reporter/incident-reporter-angular-portal/-/merge_requests/3587#note_241739", "Get 'Section' from lang file I believe it is showing on UI -- Fix it everywhere")</f>
        <v/>
      </c>
      <c r="L1951" t="inlineStr">
        <is>
          <t>2025-07-25 10:23:29.420 IST</t>
        </is>
      </c>
      <c r="M1951" t="inlineStr">
        <is>
          <t>Soundariya B</t>
        </is>
      </c>
      <c r="N1951" t="inlineStr">
        <is>
          <t>Yes</t>
        </is>
      </c>
      <c r="O1951" t="inlineStr">
        <is>
          <t>Yes</t>
        </is>
      </c>
      <c r="P1951" t="inlineStr">
        <is>
          <t>Soundariya B</t>
        </is>
      </c>
      <c r="Q1951" t="inlineStr">
        <is>
          <t>Bad</t>
        </is>
      </c>
    </row>
    <row r="1952">
      <c r="A1952" t="inlineStr">
        <is>
          <t>hitesh.k</t>
        </is>
      </c>
      <c r="B1952" t="inlineStr">
        <is>
          <t>Hitesh Kandpal</t>
        </is>
      </c>
      <c r="C1952" t="inlineStr">
        <is>
          <t>hitesh.k@osmosys.co</t>
        </is>
      </c>
      <c r="D1952" t="inlineStr">
        <is>
          <t>incident-reporter</t>
        </is>
      </c>
      <c r="E1952">
        <f>HYPERLINK("http://gitlab.osmosys.co/incident-reporter/incident-reporter-angular-portal", "OQSHA Portal")</f>
        <v/>
      </c>
      <c r="F1952">
        <f>HYPERLINK("http://gitlab.osmosys.co/incident-reporter/incident-reporter-angular-portal/-/merge_requests/3587", "feat: add standalone checks and change ui for sections")</f>
        <v/>
      </c>
      <c r="G1952" t="inlineStr">
        <is>
          <t>feat/moc-type-ui</t>
        </is>
      </c>
      <c r="H1952" t="inlineStr">
        <is>
          <t>sprint-18</t>
        </is>
      </c>
      <c r="I1952" t="inlineStr">
        <is>
          <t>merged</t>
        </is>
      </c>
      <c r="J1952" t="inlineStr">
        <is>
          <t>5af13ec4d7353d04e685fadae38c64123ac743c2</t>
        </is>
      </c>
      <c r="K1952">
        <f>HYPERLINK("http://gitlab.osmosys.co/incident-reporter/incident-reporter-angular-portal/-/merge_requests/3587#note_242010", "removed it since we don't need it")</f>
        <v/>
      </c>
      <c r="L1952" t="inlineStr">
        <is>
          <t>2025-07-25 18:50:07.657 IST</t>
        </is>
      </c>
      <c r="M1952" t="inlineStr">
        <is>
          <t>Hitesh Kandpal</t>
        </is>
      </c>
      <c r="N1952" t="inlineStr">
        <is>
          <t>No</t>
        </is>
      </c>
      <c r="O1952" t="inlineStr">
        <is>
          <t>Yes</t>
        </is>
      </c>
      <c r="P1952" t="inlineStr">
        <is>
          <t>Soundariya B</t>
        </is>
      </c>
      <c r="Q1952" t="inlineStr">
        <is>
          <t>Bad</t>
        </is>
      </c>
    </row>
    <row r="1953">
      <c r="A1953" t="inlineStr">
        <is>
          <t>hitesh.k</t>
        </is>
      </c>
      <c r="B1953" t="inlineStr">
        <is>
          <t>Hitesh Kandpal</t>
        </is>
      </c>
      <c r="C1953" t="inlineStr">
        <is>
          <t>hitesh.k@osmosys.co</t>
        </is>
      </c>
      <c r="D1953" t="inlineStr">
        <is>
          <t>incident-reporter</t>
        </is>
      </c>
      <c r="E1953">
        <f>HYPERLINK("http://gitlab.osmosys.co/incident-reporter/incident-reporter-angular-portal", "OQSHA Portal")</f>
        <v/>
      </c>
      <c r="F1953">
        <f>HYPERLINK("http://gitlab.osmosys.co/incident-reporter/incident-reporter-angular-portal/-/merge_requests/3587", "feat: add standalone checks and change ui for sections")</f>
        <v/>
      </c>
      <c r="G1953" t="inlineStr">
        <is>
          <t>feat/moc-type-ui</t>
        </is>
      </c>
      <c r="H1953" t="inlineStr">
        <is>
          <t>sprint-18</t>
        </is>
      </c>
      <c r="I1953" t="inlineStr">
        <is>
          <t>merged</t>
        </is>
      </c>
      <c r="J1953" t="inlineStr">
        <is>
          <t>c96319a34fb8bf0ba20a78735280b9ef974642dd</t>
        </is>
      </c>
      <c r="K1953">
        <f>HYPERLINK("http://gitlab.osmosys.co/incident-reporter/incident-reporter-angular-portal/-/merge_requests/3587#note_241740", "I can see this mocSetupDate object using more than 1 time and consuming no of lines of code while leads large size of the file so please try to reduce and reuse this and these kind of code")</f>
        <v/>
      </c>
      <c r="L1953" t="inlineStr">
        <is>
          <t>2025-07-25 10:23:29.497 IST</t>
        </is>
      </c>
      <c r="M1953" t="inlineStr">
        <is>
          <t>Soundariya B</t>
        </is>
      </c>
      <c r="N1953" t="inlineStr">
        <is>
          <t>Yes</t>
        </is>
      </c>
      <c r="O1953" t="inlineStr">
        <is>
          <t>Yes</t>
        </is>
      </c>
      <c r="P1953" t="inlineStr">
        <is>
          <t>Soundariya B</t>
        </is>
      </c>
      <c r="Q1953" t="inlineStr">
        <is>
          <t>Bad</t>
        </is>
      </c>
    </row>
    <row r="1954">
      <c r="A1954" t="inlineStr">
        <is>
          <t>hitesh.k</t>
        </is>
      </c>
      <c r="B1954" t="inlineStr">
        <is>
          <t>Hitesh Kandpal</t>
        </is>
      </c>
      <c r="C1954" t="inlineStr">
        <is>
          <t>hitesh.k@osmosys.co</t>
        </is>
      </c>
      <c r="D1954" t="inlineStr">
        <is>
          <t>incident-reporter</t>
        </is>
      </c>
      <c r="E1954">
        <f>HYPERLINK("http://gitlab.osmosys.co/incident-reporter/incident-reporter-angular-portal", "OQSHA Portal")</f>
        <v/>
      </c>
      <c r="F1954">
        <f>HYPERLINK("http://gitlab.osmosys.co/incident-reporter/incident-reporter-angular-portal/-/merge_requests/3587", "feat: add standalone checks and change ui for sections")</f>
        <v/>
      </c>
      <c r="G1954" t="inlineStr">
        <is>
          <t>feat/moc-type-ui</t>
        </is>
      </c>
      <c r="H1954" t="inlineStr">
        <is>
          <t>sprint-18</t>
        </is>
      </c>
      <c r="I1954" t="inlineStr">
        <is>
          <t>merged</t>
        </is>
      </c>
      <c r="J1954" t="inlineStr">
        <is>
          <t>c96319a34fb8bf0ba20a78735280b9ef974642dd</t>
        </is>
      </c>
      <c r="K1954">
        <f>HYPERLINK("http://gitlab.osmosys.co/incident-reporter/incident-reporter-angular-portal/-/merge_requests/3587#note_242011", "fixed")</f>
        <v/>
      </c>
      <c r="L1954" t="inlineStr">
        <is>
          <t>2025-07-25 18:55:19.674 IST</t>
        </is>
      </c>
      <c r="M1954" t="inlineStr">
        <is>
          <t>Hitesh Kandpal</t>
        </is>
      </c>
      <c r="N1954" t="inlineStr">
        <is>
          <t>No</t>
        </is>
      </c>
      <c r="O1954" t="inlineStr">
        <is>
          <t>Yes</t>
        </is>
      </c>
      <c r="P1954" t="inlineStr">
        <is>
          <t>Soundariya B</t>
        </is>
      </c>
      <c r="Q1954" t="inlineStr">
        <is>
          <t>Bad</t>
        </is>
      </c>
    </row>
    <row r="1955">
      <c r="A1955" t="inlineStr">
        <is>
          <t>hitesh.k</t>
        </is>
      </c>
      <c r="B1955" t="inlineStr">
        <is>
          <t>Hitesh Kandpal</t>
        </is>
      </c>
      <c r="C1955" t="inlineStr">
        <is>
          <t>hitesh.k@osmosys.co</t>
        </is>
      </c>
      <c r="D1955" t="inlineStr">
        <is>
          <t>incident-reporter</t>
        </is>
      </c>
      <c r="E1955">
        <f>HYPERLINK("http://gitlab.osmosys.co/incident-reporter/incident-reporter-angular-portal", "OQSHA Portal")</f>
        <v/>
      </c>
      <c r="F1955">
        <f>HYPERLINK("http://gitlab.osmosys.co/incident-reporter/incident-reporter-angular-portal/-/merge_requests/3587", "feat: add standalone checks and change ui for sections")</f>
        <v/>
      </c>
      <c r="G1955" t="inlineStr">
        <is>
          <t>feat/moc-type-ui</t>
        </is>
      </c>
      <c r="H1955" t="inlineStr">
        <is>
          <t>sprint-18</t>
        </is>
      </c>
      <c r="I1955" t="inlineStr">
        <is>
          <t>merged</t>
        </is>
      </c>
      <c r="J1955" t="inlineStr">
        <is>
          <t>af99f00a4a8abe380cbc9e57e1416b21de7eb6e0</t>
        </is>
      </c>
      <c r="K1955">
        <f>HYPERLINK("http://gitlab.osmosys.co/incident-reporter/incident-reporter-angular-portal/-/merge_requests/3587#note_241741", "Don't do business logic under parentheses")</f>
        <v/>
      </c>
      <c r="L1955" t="inlineStr">
        <is>
          <t>2025-07-25 10:23:29.584 IST</t>
        </is>
      </c>
      <c r="M1955" t="inlineStr">
        <is>
          <t>Soundariya B</t>
        </is>
      </c>
      <c r="N1955" t="inlineStr">
        <is>
          <t>Yes</t>
        </is>
      </c>
      <c r="O1955" t="inlineStr">
        <is>
          <t>Yes</t>
        </is>
      </c>
      <c r="P1955" t="inlineStr">
        <is>
          <t>Soundariya B</t>
        </is>
      </c>
      <c r="Q1955" t="inlineStr">
        <is>
          <t>Bad</t>
        </is>
      </c>
    </row>
    <row r="1956">
      <c r="A1956" t="inlineStr">
        <is>
          <t>hitesh.k</t>
        </is>
      </c>
      <c r="B1956" t="inlineStr">
        <is>
          <t>Hitesh Kandpal</t>
        </is>
      </c>
      <c r="C1956" t="inlineStr">
        <is>
          <t>hitesh.k@osmosys.co</t>
        </is>
      </c>
      <c r="D1956" t="inlineStr">
        <is>
          <t>incident-reporter</t>
        </is>
      </c>
      <c r="E1956">
        <f>HYPERLINK("http://gitlab.osmosys.co/incident-reporter/incident-reporter-angular-portal", "OQSHA Portal")</f>
        <v/>
      </c>
      <c r="F1956">
        <f>HYPERLINK("http://gitlab.osmosys.co/incident-reporter/incident-reporter-angular-portal/-/merge_requests/3587", "feat: add standalone checks and change ui for sections")</f>
        <v/>
      </c>
      <c r="G1956" t="inlineStr">
        <is>
          <t>feat/moc-type-ui</t>
        </is>
      </c>
      <c r="H1956" t="inlineStr">
        <is>
          <t>sprint-18</t>
        </is>
      </c>
      <c r="I1956" t="inlineStr">
        <is>
          <t>merged</t>
        </is>
      </c>
      <c r="J1956" t="inlineStr">
        <is>
          <t>af99f00a4a8abe380cbc9e57e1416b21de7eb6e0</t>
        </is>
      </c>
      <c r="K1956">
        <f>HYPERLINK("http://gitlab.osmosys.co/incident-reporter/incident-reporter-angular-portal/-/merge_requests/3587#note_242013", "fixed")</f>
        <v/>
      </c>
      <c r="L1956" t="inlineStr">
        <is>
          <t>2025-07-25 18:56:29.770 IST</t>
        </is>
      </c>
      <c r="M1956" t="inlineStr">
        <is>
          <t>Hitesh Kandpal</t>
        </is>
      </c>
      <c r="N1956" t="inlineStr">
        <is>
          <t>No</t>
        </is>
      </c>
      <c r="O1956" t="inlineStr">
        <is>
          <t>Yes</t>
        </is>
      </c>
      <c r="P1956" t="inlineStr">
        <is>
          <t>Soundariya B</t>
        </is>
      </c>
      <c r="Q1956" t="inlineStr">
        <is>
          <t>Bad</t>
        </is>
      </c>
    </row>
    <row r="1957">
      <c r="A1957" t="inlineStr">
        <is>
          <t>hitesh.k</t>
        </is>
      </c>
      <c r="B1957" t="inlineStr">
        <is>
          <t>Hitesh Kandpal</t>
        </is>
      </c>
      <c r="C1957" t="inlineStr">
        <is>
          <t>hitesh.k@osmosys.co</t>
        </is>
      </c>
      <c r="D1957" t="inlineStr">
        <is>
          <t>incident-reporter</t>
        </is>
      </c>
      <c r="E1957">
        <f>HYPERLINK("http://gitlab.osmosys.co/incident-reporter/incident-reporter-angular-portal", "OQSHA Portal")</f>
        <v/>
      </c>
      <c r="F1957">
        <f>HYPERLINK("http://gitlab.osmosys.co/incident-reporter/incident-reporter-angular-portal/-/merge_requests/3568", "fix: remove storage keys on logout")</f>
        <v/>
      </c>
      <c r="G1957" t="inlineStr">
        <is>
          <t>fix/remove-keys</t>
        </is>
      </c>
      <c r="H1957" t="inlineStr">
        <is>
          <t>sprint-17</t>
        </is>
      </c>
      <c r="I1957" t="inlineStr">
        <is>
          <t>merged</t>
        </is>
      </c>
      <c r="J1957" t="inlineStr"/>
      <c r="K1957" t="inlineStr"/>
      <c r="L1957" t="inlineStr"/>
      <c r="M1957" t="inlineStr"/>
      <c r="N1957" t="inlineStr"/>
      <c r="O1957" t="inlineStr"/>
      <c r="P1957" t="inlineStr"/>
      <c r="Q1957" t="inlineStr"/>
    </row>
    <row r="1958">
      <c r="A1958" t="inlineStr">
        <is>
          <t>hitesh.k</t>
        </is>
      </c>
      <c r="B1958" t="inlineStr">
        <is>
          <t>Hitesh Kandpal</t>
        </is>
      </c>
      <c r="C1958" t="inlineStr">
        <is>
          <t>hitesh.k@osmosys.co</t>
        </is>
      </c>
      <c r="D1958" t="inlineStr">
        <is>
          <t>incident-reporter</t>
        </is>
      </c>
      <c r="E1958">
        <f>HYPERLINK("http://gitlab.osmosys.co/incident-reporter/incident-reporter-angular-portal", "OQSHA Portal")</f>
        <v/>
      </c>
      <c r="F1958">
        <f>HYPERLINK("http://gitlab.osmosys.co/incident-reporter/incident-reporter-angular-portal/-/merge_requests/3555", "fix: add labels for ttk beta organisation")</f>
        <v/>
      </c>
      <c r="G1958" t="inlineStr">
        <is>
          <t>fix/fix-labels</t>
        </is>
      </c>
      <c r="H1958" t="inlineStr">
        <is>
          <t>sprint-17</t>
        </is>
      </c>
      <c r="I1958" t="inlineStr">
        <is>
          <t>merged</t>
        </is>
      </c>
      <c r="J1958" t="inlineStr"/>
      <c r="K1958" t="inlineStr"/>
      <c r="L1958" t="inlineStr"/>
      <c r="M1958" t="inlineStr"/>
      <c r="N1958" t="inlineStr"/>
      <c r="O1958" t="inlineStr"/>
      <c r="P1958" t="inlineStr"/>
      <c r="Q1958" t="inlineStr"/>
    </row>
    <row r="1959">
      <c r="A1959" t="inlineStr">
        <is>
          <t>hitesh.k</t>
        </is>
      </c>
      <c r="B1959" t="inlineStr">
        <is>
          <t>Hitesh Kandpal</t>
        </is>
      </c>
      <c r="C1959" t="inlineStr">
        <is>
          <t>hitesh.k@osmosys.co</t>
        </is>
      </c>
      <c r="D1959" t="inlineStr">
        <is>
          <t>incident-reporter</t>
        </is>
      </c>
      <c r="E1959">
        <f>HYPERLINK("http://gitlab.osmosys.co/incident-reporter/incident-reporter-angular-portal", "OQSHA Portal")</f>
        <v/>
      </c>
      <c r="F1959">
        <f>HYPERLINK("http://gitlab.osmosys.co/incident-reporter/incident-reporter-angular-portal/-/merge_requests/3553", "fix: add sorting for status column")</f>
        <v/>
      </c>
      <c r="G1959" t="inlineStr">
        <is>
          <t>fix/add-sorting</t>
        </is>
      </c>
      <c r="H1959" t="inlineStr">
        <is>
          <t>sprint-17</t>
        </is>
      </c>
      <c r="I1959" t="inlineStr">
        <is>
          <t>merged</t>
        </is>
      </c>
      <c r="J1959" t="inlineStr"/>
      <c r="K1959" t="inlineStr"/>
      <c r="L1959" t="inlineStr"/>
      <c r="M1959" t="inlineStr"/>
      <c r="N1959" t="inlineStr"/>
      <c r="O1959" t="inlineStr"/>
      <c r="P1959" t="inlineStr"/>
      <c r="Q1959" t="inlineStr"/>
    </row>
    <row r="1960">
      <c r="A1960" t="inlineStr">
        <is>
          <t>hitesh.k</t>
        </is>
      </c>
      <c r="B1960" t="inlineStr">
        <is>
          <t>Hitesh Kandpal</t>
        </is>
      </c>
      <c r="C1960" t="inlineStr">
        <is>
          <t>hitesh.k@osmosys.co</t>
        </is>
      </c>
      <c r="D1960" t="inlineStr">
        <is>
          <t>incident-reporter</t>
        </is>
      </c>
      <c r="E1960">
        <f>HYPERLINK("http://gitlab.osmosys.co/incident-reporter/incident-reporter-angular-portal", "OQSHA Portal")</f>
        <v/>
      </c>
      <c r="F1960">
        <f>HYPERLINK("http://gitlab.osmosys.co/incident-reporter/incident-reporter-angular-portal/-/merge_requests/3549", "feat: redirect task to ticket if it's system generated")</f>
        <v/>
      </c>
      <c r="G1960" t="inlineStr">
        <is>
          <t>feat/redirect-task</t>
        </is>
      </c>
      <c r="H1960" t="inlineStr">
        <is>
          <t>sprint-17</t>
        </is>
      </c>
      <c r="I1960" t="inlineStr">
        <is>
          <t>merged</t>
        </is>
      </c>
      <c r="J1960" t="inlineStr"/>
      <c r="K1960" t="inlineStr"/>
      <c r="L1960" t="inlineStr"/>
      <c r="M1960" t="inlineStr"/>
      <c r="N1960" t="inlineStr"/>
      <c r="O1960" t="inlineStr"/>
      <c r="P1960" t="inlineStr"/>
      <c r="Q1960" t="inlineStr"/>
    </row>
    <row r="1961">
      <c r="A1961" t="inlineStr">
        <is>
          <t>hitesh.k</t>
        </is>
      </c>
      <c r="B1961" t="inlineStr">
        <is>
          <t>Hitesh Kandpal</t>
        </is>
      </c>
      <c r="C1961" t="inlineStr">
        <is>
          <t>hitesh.k@osmosys.co</t>
        </is>
      </c>
      <c r="D1961" t="inlineStr">
        <is>
          <t>incident-reporter</t>
        </is>
      </c>
      <c r="E1961">
        <f>HYPERLINK("http://gitlab.osmosys.co/incident-reporter/incident-reporter-angular-portal", "OQSHA Portal")</f>
        <v/>
      </c>
      <c r="F1961">
        <f>HYPERLINK("http://gitlab.osmosys.co/incident-reporter/incident-reporter-angular-portal/-/merge_requests/3527", "fix: fix column mapping for similar tickets")</f>
        <v/>
      </c>
      <c r="G1961" t="inlineStr">
        <is>
          <t>fix/ticket-colvis</t>
        </is>
      </c>
      <c r="H1961" t="inlineStr">
        <is>
          <t>sprint-17</t>
        </is>
      </c>
      <c r="I1961" t="inlineStr">
        <is>
          <t>merged</t>
        </is>
      </c>
      <c r="J1961" t="inlineStr"/>
      <c r="K1961" t="inlineStr"/>
      <c r="L1961" t="inlineStr"/>
      <c r="M1961" t="inlineStr"/>
      <c r="N1961" t="inlineStr"/>
      <c r="O1961" t="inlineStr"/>
      <c r="P1961" t="inlineStr"/>
      <c r="Q1961" t="inlineStr"/>
    </row>
    <row r="1962">
      <c r="A1962" t="inlineStr">
        <is>
          <t>hitesh.k</t>
        </is>
      </c>
      <c r="B1962" t="inlineStr">
        <is>
          <t>Hitesh Kandpal</t>
        </is>
      </c>
      <c r="C1962" t="inlineStr">
        <is>
          <t>hitesh.k@osmosys.co</t>
        </is>
      </c>
      <c r="D1962" t="inlineStr">
        <is>
          <t>incident-reporter</t>
        </is>
      </c>
      <c r="E1962">
        <f>HYPERLINK("http://gitlab.osmosys.co/incident-reporter/incident-reporter-angular-portal", "OQSHA Portal")</f>
        <v/>
      </c>
      <c r="F1962">
        <f>HYPERLINK("http://gitlab.osmosys.co/incident-reporter/incident-reporter-angular-portal/-/merge_requests/3522", "fix: change ui for pillar setup")</f>
        <v/>
      </c>
      <c r="G1962" t="inlineStr">
        <is>
          <t>fix/pillar-UI</t>
        </is>
      </c>
      <c r="H1962" t="inlineStr">
        <is>
          <t>sprint-17</t>
        </is>
      </c>
      <c r="I1962" t="inlineStr">
        <is>
          <t>merged</t>
        </is>
      </c>
      <c r="J1962" t="inlineStr">
        <is>
          <t>e811b74c9c1afbea65f2846d1100d0649d620a90</t>
        </is>
      </c>
      <c r="K1962">
        <f>HYPERLINK("http://gitlab.osmosys.co/incident-reporter/incident-reporter-angular-portal/-/merge_requests/3522#note_240354", "* Why the first mat-exp section font is darker the second one why both are not same font color and weight?
* The up arrow at the right top corner of map-exp section not required as already we have on left top corner
* Mandatory thing has to be fixed.
* up arrows have to be removed
![image.png](/uploads/4a35dd4b882ce2d20bd036d16619aef7/image.png)")</f>
        <v/>
      </c>
      <c r="L1962" t="inlineStr">
        <is>
          <t>2025-07-22 17:25:10.035 IST</t>
        </is>
      </c>
      <c r="M1962" t="inlineStr">
        <is>
          <t>Soundariya B</t>
        </is>
      </c>
      <c r="N1962" t="inlineStr">
        <is>
          <t>Yes</t>
        </is>
      </c>
      <c r="O1962" t="inlineStr">
        <is>
          <t>No</t>
        </is>
      </c>
      <c r="P1962" t="inlineStr"/>
      <c r="Q1962" t="inlineStr">
        <is>
          <t>Bad</t>
        </is>
      </c>
    </row>
    <row r="1963">
      <c r="A1963" t="inlineStr">
        <is>
          <t>hitesh.k</t>
        </is>
      </c>
      <c r="B1963" t="inlineStr">
        <is>
          <t>Hitesh Kandpal</t>
        </is>
      </c>
      <c r="C1963" t="inlineStr">
        <is>
          <t>hitesh.k@osmosys.co</t>
        </is>
      </c>
      <c r="D1963" t="inlineStr">
        <is>
          <t>incident-reporter</t>
        </is>
      </c>
      <c r="E1963">
        <f>HYPERLINK("http://gitlab.osmosys.co/incident-reporter/incident-reporter-angular-portal", "OQSHA Portal")</f>
        <v/>
      </c>
      <c r="F1963">
        <f>HYPERLINK("http://gitlab.osmosys.co/incident-reporter/incident-reporter-angular-portal/-/merge_requests/3522", "fix: change ui for pillar setup")</f>
        <v/>
      </c>
      <c r="G1963" t="inlineStr">
        <is>
          <t>fix/pillar-UI</t>
        </is>
      </c>
      <c r="H1963" t="inlineStr">
        <is>
          <t>sprint-17</t>
        </is>
      </c>
      <c r="I1963" t="inlineStr">
        <is>
          <t>merged</t>
        </is>
      </c>
      <c r="J1963" t="inlineStr">
        <is>
          <t>8040eab790503e6f4b8059fff1da43c2b9b1a21a</t>
        </is>
      </c>
      <c r="K1963">
        <f>HYPERLINK("http://gitlab.osmosys.co/incident-reporter/incident-reporter-angular-portal/-/merge_requests/3522#note_240355", "It should be txt-option")</f>
        <v/>
      </c>
      <c r="L1963" t="inlineStr">
        <is>
          <t>2025-07-22 17:25:10.111 IST</t>
        </is>
      </c>
      <c r="M1963" t="inlineStr">
        <is>
          <t>Soundariya B</t>
        </is>
      </c>
      <c r="N1963" t="inlineStr">
        <is>
          <t>Yes</t>
        </is>
      </c>
      <c r="O1963" t="inlineStr">
        <is>
          <t>No</t>
        </is>
      </c>
      <c r="P1963" t="inlineStr"/>
      <c r="Q1963" t="inlineStr">
        <is>
          <t>Bad</t>
        </is>
      </c>
    </row>
    <row r="1964">
      <c r="A1964" t="inlineStr">
        <is>
          <t>hitesh.k</t>
        </is>
      </c>
      <c r="B1964" t="inlineStr">
        <is>
          <t>Hitesh Kandpal</t>
        </is>
      </c>
      <c r="C1964" t="inlineStr">
        <is>
          <t>hitesh.k@osmosys.co</t>
        </is>
      </c>
      <c r="D1964" t="inlineStr">
        <is>
          <t>incident-reporter</t>
        </is>
      </c>
      <c r="E1964">
        <f>HYPERLINK("http://gitlab.osmosys.co/incident-reporter/incident-reporter-angular-portal", "OQSHA Portal")</f>
        <v/>
      </c>
      <c r="F1964">
        <f>HYPERLINK("http://gitlab.osmosys.co/incident-reporter/incident-reporter-angular-portal/-/merge_requests/3522", "fix: change ui for pillar setup")</f>
        <v/>
      </c>
      <c r="G1964" t="inlineStr">
        <is>
          <t>fix/pillar-UI</t>
        </is>
      </c>
      <c r="H1964" t="inlineStr">
        <is>
          <t>sprint-17</t>
        </is>
      </c>
      <c r="I1964" t="inlineStr">
        <is>
          <t>merged</t>
        </is>
      </c>
      <c r="J1964" t="inlineStr">
        <is>
          <t>f83eb489442c566046ca01cb48a1406f7f702aed</t>
        </is>
      </c>
      <c r="K1964">
        <f>HYPERLINK("http://gitlab.osmosys.co/incident-reporter/incident-reporter-angular-portal/-/merge_requests/3522#note_240356", "Remove this - fix it everywhere")</f>
        <v/>
      </c>
      <c r="L1964" t="inlineStr">
        <is>
          <t>2025-07-22 17:25:10.168 IST</t>
        </is>
      </c>
      <c r="M1964" t="inlineStr">
        <is>
          <t>Soundariya B</t>
        </is>
      </c>
      <c r="N1964" t="inlineStr">
        <is>
          <t>Yes</t>
        </is>
      </c>
      <c r="O1964" t="inlineStr">
        <is>
          <t>No</t>
        </is>
      </c>
      <c r="P1964" t="inlineStr"/>
      <c r="Q1964" t="inlineStr">
        <is>
          <t>Bad</t>
        </is>
      </c>
    </row>
    <row r="1965">
      <c r="A1965" t="inlineStr">
        <is>
          <t>hitesh.k</t>
        </is>
      </c>
      <c r="B1965" t="inlineStr">
        <is>
          <t>Hitesh Kandpal</t>
        </is>
      </c>
      <c r="C1965" t="inlineStr">
        <is>
          <t>hitesh.k@osmosys.co</t>
        </is>
      </c>
      <c r="D1965" t="inlineStr">
        <is>
          <t>incident-reporter</t>
        </is>
      </c>
      <c r="E1965">
        <f>HYPERLINK("http://gitlab.osmosys.co/incident-reporter/incident-reporter-angular-portal", "OQSHA Portal")</f>
        <v/>
      </c>
      <c r="F1965">
        <f>HYPERLINK("http://gitlab.osmosys.co/incident-reporter/incident-reporter-angular-portal/-/merge_requests/3522", "fix: change ui for pillar setup")</f>
        <v/>
      </c>
      <c r="G1965" t="inlineStr">
        <is>
          <t>fix/pillar-UI</t>
        </is>
      </c>
      <c r="H1965" t="inlineStr">
        <is>
          <t>sprint-17</t>
        </is>
      </c>
      <c r="I1965" t="inlineStr">
        <is>
          <t>merged</t>
        </is>
      </c>
      <c r="J1965" t="inlineStr">
        <is>
          <t>7fb9bc4bef8ee5f9f06452b1fcb7be2207b8164f</t>
        </is>
      </c>
      <c r="K1965">
        <f>HYPERLINK("http://gitlab.osmosys.co/incident-reporter/incident-reporter-angular-portal/-/merge_requests/3522#note_240357", "Same here  - fix it everywhere")</f>
        <v/>
      </c>
      <c r="L1965" t="inlineStr">
        <is>
          <t>2025-07-22 17:25:10.226 IST</t>
        </is>
      </c>
      <c r="M1965" t="inlineStr">
        <is>
          <t>Soundariya B</t>
        </is>
      </c>
      <c r="N1965" t="inlineStr">
        <is>
          <t>Yes</t>
        </is>
      </c>
      <c r="O1965" t="inlineStr">
        <is>
          <t>No</t>
        </is>
      </c>
      <c r="P1965" t="inlineStr"/>
      <c r="Q1965" t="inlineStr">
        <is>
          <t>Bad</t>
        </is>
      </c>
    </row>
    <row r="1966">
      <c r="A1966" t="inlineStr">
        <is>
          <t>hitesh.k</t>
        </is>
      </c>
      <c r="B1966" t="inlineStr">
        <is>
          <t>Hitesh Kandpal</t>
        </is>
      </c>
      <c r="C1966" t="inlineStr">
        <is>
          <t>hitesh.k@osmosys.co</t>
        </is>
      </c>
      <c r="D1966" t="inlineStr">
        <is>
          <t>incident-reporter</t>
        </is>
      </c>
      <c r="E1966">
        <f>HYPERLINK("http://gitlab.osmosys.co/incident-reporter/incident-reporter-angular-portal", "OQSHA Portal")</f>
        <v/>
      </c>
      <c r="F1966">
        <f>HYPERLINK("http://gitlab.osmosys.co/incident-reporter/incident-reporter-angular-portal/-/merge_requests/3522", "fix: change ui for pillar setup")</f>
        <v/>
      </c>
      <c r="G1966" t="inlineStr">
        <is>
          <t>fix/pillar-UI</t>
        </is>
      </c>
      <c r="H1966" t="inlineStr">
        <is>
          <t>sprint-17</t>
        </is>
      </c>
      <c r="I1966" t="inlineStr">
        <is>
          <t>merged</t>
        </is>
      </c>
      <c r="J1966" t="inlineStr">
        <is>
          <t>14ac2b601d04960484d71b95bccb9995d7e32b13</t>
        </is>
      </c>
      <c r="K1966">
        <f>HYPERLINK("http://gitlab.osmosys.co/incident-reporter/incident-reporter-angular-portal/-/merge_requests/3522#note_240456", "Merging the PR as of now as we have other things dependent on this.
Hitesh to revisit and fix the threads in a separate PR.")</f>
        <v/>
      </c>
      <c r="L1966" t="inlineStr">
        <is>
          <t>2025-07-22 18:52:15.232 IST</t>
        </is>
      </c>
      <c r="M1966" t="inlineStr">
        <is>
          <t>Raj Kumar</t>
        </is>
      </c>
      <c r="N1966" t="inlineStr">
        <is>
          <t>Yes</t>
        </is>
      </c>
      <c r="O1966" t="inlineStr">
        <is>
          <t>No</t>
        </is>
      </c>
      <c r="P1966" t="inlineStr"/>
      <c r="Q1966" t="inlineStr">
        <is>
          <t>Bad</t>
        </is>
      </c>
    </row>
    <row r="1967">
      <c r="A1967" t="inlineStr">
        <is>
          <t>hitesh.k</t>
        </is>
      </c>
      <c r="B1967" t="inlineStr">
        <is>
          <t>Hitesh Kandpal</t>
        </is>
      </c>
      <c r="C1967" t="inlineStr">
        <is>
          <t>hitesh.k@osmosys.co</t>
        </is>
      </c>
      <c r="D1967" t="inlineStr">
        <is>
          <t>incident-reporter</t>
        </is>
      </c>
      <c r="E1967">
        <f>HYPERLINK("http://gitlab.osmosys.co/incident-reporter/incident-reporter-angular-portal", "OQSHA Portal")</f>
        <v/>
      </c>
      <c r="F1967">
        <f>HYPERLINK("http://gitlab.osmosys.co/incident-reporter/incident-reporter-angular-portal/-/merge_requests/3522", "fix: change ui for pillar setup")</f>
        <v/>
      </c>
      <c r="G1967" t="inlineStr">
        <is>
          <t>fix/pillar-UI</t>
        </is>
      </c>
      <c r="H1967" t="inlineStr">
        <is>
          <t>sprint-17</t>
        </is>
      </c>
      <c r="I1967" t="inlineStr">
        <is>
          <t>merged</t>
        </is>
      </c>
      <c r="J1967" t="inlineStr">
        <is>
          <t>dfc2fc096ee39d2ebb0da0cffd4cb6761d263205</t>
        </is>
      </c>
      <c r="K1967">
        <f>HYPERLINK("http://gitlab.osmosys.co/incident-reporter/incident-reporter-angular-portal/-/merge_requests/3522#note_240496", "![image](/uploads/fa6f4d118e980fff0a5408de7d24cafc/image.png){width=263 height=66}
Input width can be reduced so that label comes in single line.")</f>
        <v/>
      </c>
      <c r="L1967" t="inlineStr">
        <is>
          <t>2025-07-22 19:14:17.016 IST</t>
        </is>
      </c>
      <c r="M1967" t="inlineStr">
        <is>
          <t>Raj Kumar</t>
        </is>
      </c>
      <c r="N1967" t="inlineStr">
        <is>
          <t>Yes</t>
        </is>
      </c>
      <c r="O1967" t="inlineStr">
        <is>
          <t>No</t>
        </is>
      </c>
      <c r="P1967" t="inlineStr"/>
      <c r="Q1967" t="inlineStr">
        <is>
          <t>Bad</t>
        </is>
      </c>
    </row>
    <row r="1968">
      <c r="A1968" t="inlineStr">
        <is>
          <t>hitesh.k</t>
        </is>
      </c>
      <c r="B1968" t="inlineStr">
        <is>
          <t>Hitesh Kandpal</t>
        </is>
      </c>
      <c r="C1968" t="inlineStr">
        <is>
          <t>hitesh.k@osmosys.co</t>
        </is>
      </c>
      <c r="D1968" t="inlineStr">
        <is>
          <t>incident-reporter</t>
        </is>
      </c>
      <c r="E1968">
        <f>HYPERLINK("http://gitlab.osmosys.co/incident-reporter/incident-reporter-angular-portal", "OQSHA Portal")</f>
        <v/>
      </c>
      <c r="F1968">
        <f>HYPERLINK("http://gitlab.osmosys.co/incident-reporter/incident-reporter-angular-portal/-/merge_requests/3465", "fix: fix duplicate api calls for tasks and inspection page")</f>
        <v/>
      </c>
      <c r="G1968" t="inlineStr">
        <is>
          <t>fix/list-duplicate-api-calls</t>
        </is>
      </c>
      <c r="H1968" t="inlineStr">
        <is>
          <t>sprint-17</t>
        </is>
      </c>
      <c r="I1968" t="inlineStr">
        <is>
          <t>merged</t>
        </is>
      </c>
      <c r="J1968" t="inlineStr"/>
      <c r="K1968" t="inlineStr"/>
      <c r="L1968" t="inlineStr"/>
      <c r="M1968" t="inlineStr"/>
      <c r="N1968" t="inlineStr"/>
      <c r="O1968" t="inlineStr"/>
      <c r="P1968" t="inlineStr"/>
      <c r="Q1968" t="inlineStr"/>
    </row>
    <row r="1969">
      <c r="A1969" t="inlineStr">
        <is>
          <t>hitesh.k</t>
        </is>
      </c>
      <c r="B1969" t="inlineStr">
        <is>
          <t>Hitesh Kandpal</t>
        </is>
      </c>
      <c r="C1969" t="inlineStr">
        <is>
          <t>hitesh.k@osmosys.co</t>
        </is>
      </c>
      <c r="D1969" t="inlineStr">
        <is>
          <t>incident-reporter</t>
        </is>
      </c>
      <c r="E1969">
        <f>HYPERLINK("http://gitlab.osmosys.co/incident-reporter/incident-reporter-angular-portal", "OQSHA Portal")</f>
        <v/>
      </c>
      <c r="F1969">
        <f>HYPERLINK("http://gitlab.osmosys.co/incident-reporter/incident-reporter-angular-portal/-/merge_requests/3458", "fix: fix user dropdown and styling")</f>
        <v/>
      </c>
      <c r="G1969" t="inlineStr">
        <is>
          <t>fix/fix-user-dropdown</t>
        </is>
      </c>
      <c r="H1969" t="inlineStr">
        <is>
          <t>sprint-16</t>
        </is>
      </c>
      <c r="I1969" t="inlineStr">
        <is>
          <t>merged</t>
        </is>
      </c>
      <c r="J1969" t="inlineStr"/>
      <c r="K1969" t="inlineStr"/>
      <c r="L1969" t="inlineStr"/>
      <c r="M1969" t="inlineStr"/>
      <c r="N1969" t="inlineStr"/>
      <c r="O1969" t="inlineStr"/>
      <c r="P1969" t="inlineStr"/>
      <c r="Q1969" t="inlineStr"/>
    </row>
    <row r="1970">
      <c r="A1970" t="inlineStr">
        <is>
          <t>hitesh.k</t>
        </is>
      </c>
      <c r="B1970" t="inlineStr">
        <is>
          <t>Hitesh Kandpal</t>
        </is>
      </c>
      <c r="C1970" t="inlineStr">
        <is>
          <t>hitesh.k@osmosys.co</t>
        </is>
      </c>
      <c r="D1970" t="inlineStr">
        <is>
          <t>incident-reporter</t>
        </is>
      </c>
      <c r="E1970">
        <f>HYPERLINK("http://gitlab.osmosys.co/incident-reporter/incident-reporter-angular-portal", "OQSHA Portal")</f>
        <v/>
      </c>
      <c r="F1970">
        <f>HYPERLINK("http://gitlab.osmosys.co/incident-reporter/incident-reporter-angular-portal/-/merge_requests/3438", "fix: fix payload for ptw details")</f>
        <v/>
      </c>
      <c r="G1970" t="inlineStr">
        <is>
          <t>fix/fix-ptw-checks</t>
        </is>
      </c>
      <c r="H1970" t="inlineStr">
        <is>
          <t>sprint-16</t>
        </is>
      </c>
      <c r="I1970" t="inlineStr">
        <is>
          <t>merged</t>
        </is>
      </c>
      <c r="J1970" t="inlineStr"/>
      <c r="K1970" t="inlineStr"/>
      <c r="L1970" t="inlineStr"/>
      <c r="M1970" t="inlineStr"/>
      <c r="N1970" t="inlineStr"/>
      <c r="O1970" t="inlineStr"/>
      <c r="P1970" t="inlineStr"/>
      <c r="Q1970" t="inlineStr"/>
    </row>
    <row r="1971">
      <c r="A1971" t="inlineStr">
        <is>
          <t>hitesh.k</t>
        </is>
      </c>
      <c r="B1971" t="inlineStr">
        <is>
          <t>Hitesh Kandpal</t>
        </is>
      </c>
      <c r="C1971" t="inlineStr">
        <is>
          <t>hitesh.k@osmosys.co</t>
        </is>
      </c>
      <c r="D1971" t="inlineStr">
        <is>
          <t>incident-reporter</t>
        </is>
      </c>
      <c r="E1971">
        <f>HYPERLINK("http://gitlab.osmosys.co/incident-reporter/incident-reporter-angular-portal", "OQSHA Portal")</f>
        <v/>
      </c>
      <c r="F1971">
        <f>HYPERLINK("http://gitlab.osmosys.co/incident-reporter/incident-reporter-angular-portal/-/merge_requests/3434", "fix: add date validation for ptw export dates")</f>
        <v/>
      </c>
      <c r="G1971" t="inlineStr">
        <is>
          <t>fix/add-date-validation</t>
        </is>
      </c>
      <c r="H1971" t="inlineStr">
        <is>
          <t>sprint-16</t>
        </is>
      </c>
      <c r="I1971" t="inlineStr">
        <is>
          <t>merged</t>
        </is>
      </c>
      <c r="J1971" t="inlineStr"/>
      <c r="K1971" t="inlineStr"/>
      <c r="L1971" t="inlineStr"/>
      <c r="M1971" t="inlineStr"/>
      <c r="N1971" t="inlineStr"/>
      <c r="O1971" t="inlineStr"/>
      <c r="P1971" t="inlineStr"/>
      <c r="Q1971" t="inlineStr"/>
    </row>
    <row r="1972">
      <c r="A1972" t="inlineStr">
        <is>
          <t>hitesh.k</t>
        </is>
      </c>
      <c r="B1972" t="inlineStr">
        <is>
          <t>Hitesh Kandpal</t>
        </is>
      </c>
      <c r="C1972" t="inlineStr">
        <is>
          <t>hitesh.k@osmosys.co</t>
        </is>
      </c>
      <c r="D1972" t="inlineStr">
        <is>
          <t>incident-reporter</t>
        </is>
      </c>
      <c r="E1972">
        <f>HYPERLINK("http://gitlab.osmosys.co/incident-reporter/incident-reporter-angular-portal", "OQSHA Portal")</f>
        <v/>
      </c>
      <c r="F1972">
        <f>HYPERLINK("http://gitlab.osmosys.co/incident-reporter/incident-reporter-angular-portal/-/merge_requests/3417", "fix: fix button placement")</f>
        <v/>
      </c>
      <c r="G1972" t="inlineStr">
        <is>
          <t>fix/fix-action-btn</t>
        </is>
      </c>
      <c r="H1972" t="inlineStr">
        <is>
          <t>sprint-17</t>
        </is>
      </c>
      <c r="I1972" t="inlineStr">
        <is>
          <t>merged</t>
        </is>
      </c>
      <c r="J1972" t="inlineStr"/>
      <c r="K1972" t="inlineStr"/>
      <c r="L1972" t="inlineStr"/>
      <c r="M1972" t="inlineStr"/>
      <c r="N1972" t="inlineStr"/>
      <c r="O1972" t="inlineStr"/>
      <c r="P1972" t="inlineStr"/>
      <c r="Q1972" t="inlineStr"/>
    </row>
    <row r="1973">
      <c r="A1973" t="inlineStr">
        <is>
          <t>hitesh.k</t>
        </is>
      </c>
      <c r="B1973" t="inlineStr">
        <is>
          <t>Hitesh Kandpal</t>
        </is>
      </c>
      <c r="C1973" t="inlineStr">
        <is>
          <t>hitesh.k@osmosys.co</t>
        </is>
      </c>
      <c r="D1973" t="inlineStr">
        <is>
          <t>incident-reporter</t>
        </is>
      </c>
      <c r="E1973">
        <f>HYPERLINK("http://gitlab.osmosys.co/incident-reporter/incident-reporter-angular-portal", "OQSHA Portal")</f>
        <v/>
      </c>
      <c r="F1973">
        <f>HYPERLINK("http://gitlab.osmosys.co/incident-reporter/incident-reporter-angular-portal/-/merge_requests/3398", "feat: render independent checks and sections in online library document")</f>
        <v/>
      </c>
      <c r="G1973" t="inlineStr">
        <is>
          <t>feat/add-pillars-sections</t>
        </is>
      </c>
      <c r="H1973" t="inlineStr">
        <is>
          <t>sprint-17</t>
        </is>
      </c>
      <c r="I1973" t="inlineStr">
        <is>
          <t>merged</t>
        </is>
      </c>
      <c r="J1973" t="inlineStr">
        <is>
          <t>d84e373d8c7624117481530ce50b0d974f198c23</t>
        </is>
      </c>
      <c r="K1973">
        <f>HYPERLINK("http://gitlab.osmosys.co/incident-reporter/incident-reporter-angular-portal/-/merge_requests/3398#note_234830", "This should be a FIXME. Also, the issue with this should be mentioned so that it can be revisited later.")</f>
        <v/>
      </c>
      <c r="L1973" t="inlineStr">
        <is>
          <t>2025-07-11 01:37:26.340 IST</t>
        </is>
      </c>
      <c r="M1973" t="inlineStr">
        <is>
          <t>Sameer Shaik</t>
        </is>
      </c>
      <c r="N1973" t="inlineStr">
        <is>
          <t>Yes</t>
        </is>
      </c>
      <c r="O1973" t="inlineStr">
        <is>
          <t>Yes</t>
        </is>
      </c>
      <c r="P1973" t="inlineStr">
        <is>
          <t>Soundariya B</t>
        </is>
      </c>
      <c r="Q1973" t="inlineStr">
        <is>
          <t>Bad</t>
        </is>
      </c>
    </row>
    <row r="1974">
      <c r="A1974" t="inlineStr">
        <is>
          <t>hitesh.k</t>
        </is>
      </c>
      <c r="B1974" t="inlineStr">
        <is>
          <t>Hitesh Kandpal</t>
        </is>
      </c>
      <c r="C1974" t="inlineStr">
        <is>
          <t>hitesh.k@osmosys.co</t>
        </is>
      </c>
      <c r="D1974" t="inlineStr">
        <is>
          <t>incident-reporter</t>
        </is>
      </c>
      <c r="E1974">
        <f>HYPERLINK("http://gitlab.osmosys.co/incident-reporter/incident-reporter-angular-portal", "OQSHA Portal")</f>
        <v/>
      </c>
      <c r="F1974">
        <f>HYPERLINK("http://gitlab.osmosys.co/incident-reporter/incident-reporter-angular-portal/-/merge_requests/3398", "feat: render independent checks and sections in online library document")</f>
        <v/>
      </c>
      <c r="G1974" t="inlineStr">
        <is>
          <t>feat/add-pillars-sections</t>
        </is>
      </c>
      <c r="H1974" t="inlineStr">
        <is>
          <t>sprint-17</t>
        </is>
      </c>
      <c r="I1974" t="inlineStr">
        <is>
          <t>merged</t>
        </is>
      </c>
      <c r="J1974" t="inlineStr">
        <is>
          <t>d84e373d8c7624117481530ce50b0d974f198c23</t>
        </is>
      </c>
      <c r="K1974">
        <f>HYPERLINK("http://gitlab.osmosys.co/incident-reporter/incident-reporter-angular-portal/-/merge_requests/3398#note_234910", "removed the line, investigated the css nothing seems wrong to me here so removed it")</f>
        <v/>
      </c>
      <c r="L1974" t="inlineStr">
        <is>
          <t>2025-07-11 09:36:57.847 IST</t>
        </is>
      </c>
      <c r="M1974" t="inlineStr">
        <is>
          <t>Hitesh Kandpal</t>
        </is>
      </c>
      <c r="N1974" t="inlineStr">
        <is>
          <t>No</t>
        </is>
      </c>
      <c r="O1974" t="inlineStr">
        <is>
          <t>Yes</t>
        </is>
      </c>
      <c r="P1974" t="inlineStr">
        <is>
          <t>Soundariya B</t>
        </is>
      </c>
      <c r="Q1974" t="inlineStr">
        <is>
          <t>Bad</t>
        </is>
      </c>
    </row>
    <row r="1975">
      <c r="A1975" t="inlineStr">
        <is>
          <t>hitesh.k</t>
        </is>
      </c>
      <c r="B1975" t="inlineStr">
        <is>
          <t>Hitesh Kandpal</t>
        </is>
      </c>
      <c r="C1975" t="inlineStr">
        <is>
          <t>hitesh.k@osmosys.co</t>
        </is>
      </c>
      <c r="D1975" t="inlineStr">
        <is>
          <t>incident-reporter</t>
        </is>
      </c>
      <c r="E1975">
        <f>HYPERLINK("http://gitlab.osmosys.co/incident-reporter/incident-reporter-angular-portal", "OQSHA Portal")</f>
        <v/>
      </c>
      <c r="F1975">
        <f>HYPERLINK("http://gitlab.osmosys.co/incident-reporter/incident-reporter-angular-portal/-/merge_requests/3398", "feat: render independent checks and sections in online library document")</f>
        <v/>
      </c>
      <c r="G1975" t="inlineStr">
        <is>
          <t>feat/add-pillars-sections</t>
        </is>
      </c>
      <c r="H1975" t="inlineStr">
        <is>
          <t>sprint-17</t>
        </is>
      </c>
      <c r="I1975" t="inlineStr">
        <is>
          <t>merged</t>
        </is>
      </c>
      <c r="J1975" t="inlineStr">
        <is>
          <t>d84e373d8c7624117481530ce50b0d974f198c23</t>
        </is>
      </c>
      <c r="K1975">
        <f>HYPERLINK("http://gitlab.osmosys.co/incident-reporter/incident-reporter-angular-portal/-/merge_requests/3398#note_235263", "Please revert and do it what Sameer mentioned, there is fix to avoid !important as Raj only said to put this and confirmed.")</f>
        <v/>
      </c>
      <c r="L1975" t="inlineStr">
        <is>
          <t>2025-07-11 15:34:48.609 IST</t>
        </is>
      </c>
      <c r="M1975" t="inlineStr">
        <is>
          <t>Soundariya B</t>
        </is>
      </c>
      <c r="N1975" t="inlineStr">
        <is>
          <t>Yes</t>
        </is>
      </c>
      <c r="O1975" t="inlineStr">
        <is>
          <t>Yes</t>
        </is>
      </c>
      <c r="P1975" t="inlineStr">
        <is>
          <t>Soundariya B</t>
        </is>
      </c>
      <c r="Q1975" t="inlineStr">
        <is>
          <t>Bad</t>
        </is>
      </c>
    </row>
    <row r="1976">
      <c r="A1976" t="inlineStr">
        <is>
          <t>hitesh.k</t>
        </is>
      </c>
      <c r="B1976" t="inlineStr">
        <is>
          <t>Hitesh Kandpal</t>
        </is>
      </c>
      <c r="C1976" t="inlineStr">
        <is>
          <t>hitesh.k@osmosys.co</t>
        </is>
      </c>
      <c r="D1976" t="inlineStr">
        <is>
          <t>incident-reporter</t>
        </is>
      </c>
      <c r="E1976">
        <f>HYPERLINK("http://gitlab.osmosys.co/incident-reporter/incident-reporter-angular-portal", "OQSHA Portal")</f>
        <v/>
      </c>
      <c r="F1976">
        <f>HYPERLINK("http://gitlab.osmosys.co/incident-reporter/incident-reporter-angular-portal/-/merge_requests/3398", "feat: render independent checks and sections in online library document")</f>
        <v/>
      </c>
      <c r="G1976" t="inlineStr">
        <is>
          <t>feat/add-pillars-sections</t>
        </is>
      </c>
      <c r="H1976" t="inlineStr">
        <is>
          <t>sprint-17</t>
        </is>
      </c>
      <c r="I1976" t="inlineStr">
        <is>
          <t>merged</t>
        </is>
      </c>
      <c r="J1976" t="inlineStr">
        <is>
          <t>d84e373d8c7624117481530ce50b0d974f198c23</t>
        </is>
      </c>
      <c r="K1976">
        <f>HYPERLINK("http://gitlab.osmosys.co/incident-reporter/incident-reporter-angular-portal/-/merge_requests/3398#note_235334", "i removed the whole css block as it was not being used")</f>
        <v/>
      </c>
      <c r="L1976" t="inlineStr">
        <is>
          <t>2025-07-11 16:38:00.135 IST</t>
        </is>
      </c>
      <c r="M1976" t="inlineStr">
        <is>
          <t>Hitesh Kandpal</t>
        </is>
      </c>
      <c r="N1976" t="inlineStr">
        <is>
          <t>No</t>
        </is>
      </c>
      <c r="O1976" t="inlineStr">
        <is>
          <t>Yes</t>
        </is>
      </c>
      <c r="P1976" t="inlineStr">
        <is>
          <t>Soundariya B</t>
        </is>
      </c>
      <c r="Q1976" t="inlineStr">
        <is>
          <t>Bad</t>
        </is>
      </c>
    </row>
    <row r="1977">
      <c r="A1977" t="inlineStr">
        <is>
          <t>hitesh.k</t>
        </is>
      </c>
      <c r="B1977" t="inlineStr">
        <is>
          <t>Hitesh Kandpal</t>
        </is>
      </c>
      <c r="C1977" t="inlineStr">
        <is>
          <t>hitesh.k@osmosys.co</t>
        </is>
      </c>
      <c r="D1977" t="inlineStr">
        <is>
          <t>incident-reporter</t>
        </is>
      </c>
      <c r="E1977">
        <f>HYPERLINK("http://gitlab.osmosys.co/incident-reporter/incident-reporter-angular-portal", "OQSHA Portal")</f>
        <v/>
      </c>
      <c r="F1977">
        <f>HYPERLINK("http://gitlab.osmosys.co/incident-reporter/incident-reporter-angular-portal/-/merge_requests/3398", "feat: render independent checks and sections in online library document")</f>
        <v/>
      </c>
      <c r="G1977" t="inlineStr">
        <is>
          <t>feat/add-pillars-sections</t>
        </is>
      </c>
      <c r="H1977" t="inlineStr">
        <is>
          <t>sprint-17</t>
        </is>
      </c>
      <c r="I1977" t="inlineStr">
        <is>
          <t>merged</t>
        </is>
      </c>
      <c r="J1977" t="inlineStr">
        <is>
          <t>8661849ca9a2eb5ef4d4a787b637b051e4abc349</t>
        </is>
      </c>
      <c r="K1977">
        <f>HYPERLINK("http://gitlab.osmosys.co/incident-reporter/incident-reporter-angular-portal/-/merge_requests/3398#note_234831", "Check my comment on TODO above.")</f>
        <v/>
      </c>
      <c r="L1977" t="inlineStr">
        <is>
          <t>2025-07-11 01:37:26.415 IST</t>
        </is>
      </c>
      <c r="M1977" t="inlineStr">
        <is>
          <t>Sameer Shaik</t>
        </is>
      </c>
      <c r="N1977" t="inlineStr">
        <is>
          <t>Yes</t>
        </is>
      </c>
      <c r="O1977" t="inlineStr">
        <is>
          <t>Yes</t>
        </is>
      </c>
      <c r="P1977" t="inlineStr">
        <is>
          <t>Soundariya B</t>
        </is>
      </c>
      <c r="Q1977" t="inlineStr">
        <is>
          <t>Bad</t>
        </is>
      </c>
    </row>
    <row r="1978">
      <c r="A1978" t="inlineStr">
        <is>
          <t>hitesh.k</t>
        </is>
      </c>
      <c r="B1978" t="inlineStr">
        <is>
          <t>Hitesh Kandpal</t>
        </is>
      </c>
      <c r="C1978" t="inlineStr">
        <is>
          <t>hitesh.k@osmosys.co</t>
        </is>
      </c>
      <c r="D1978" t="inlineStr">
        <is>
          <t>incident-reporter</t>
        </is>
      </c>
      <c r="E1978">
        <f>HYPERLINK("http://gitlab.osmosys.co/incident-reporter/incident-reporter-angular-portal", "OQSHA Portal")</f>
        <v/>
      </c>
      <c r="F1978">
        <f>HYPERLINK("http://gitlab.osmosys.co/incident-reporter/incident-reporter-angular-portal/-/merge_requests/3398", "feat: render independent checks and sections in online library document")</f>
        <v/>
      </c>
      <c r="G1978" t="inlineStr">
        <is>
          <t>feat/add-pillars-sections</t>
        </is>
      </c>
      <c r="H1978" t="inlineStr">
        <is>
          <t>sprint-17</t>
        </is>
      </c>
      <c r="I1978" t="inlineStr">
        <is>
          <t>merged</t>
        </is>
      </c>
      <c r="J1978" t="inlineStr">
        <is>
          <t>8661849ca9a2eb5ef4d4a787b637b051e4abc349</t>
        </is>
      </c>
      <c r="K1978">
        <f>HYPERLINK("http://gitlab.osmosys.co/incident-reporter/incident-reporter-angular-portal/-/merge_requests/3398#note_234911", "removed")</f>
        <v/>
      </c>
      <c r="L1978" t="inlineStr">
        <is>
          <t>2025-07-11 09:37:18.373 IST</t>
        </is>
      </c>
      <c r="M1978" t="inlineStr">
        <is>
          <t>Hitesh Kandpal</t>
        </is>
      </c>
      <c r="N1978" t="inlineStr">
        <is>
          <t>No</t>
        </is>
      </c>
      <c r="O1978" t="inlineStr">
        <is>
          <t>Yes</t>
        </is>
      </c>
      <c r="P1978" t="inlineStr">
        <is>
          <t>Soundariya B</t>
        </is>
      </c>
      <c r="Q1978" t="inlineStr">
        <is>
          <t>Bad</t>
        </is>
      </c>
    </row>
    <row r="1979">
      <c r="A1979" t="inlineStr">
        <is>
          <t>hitesh.k</t>
        </is>
      </c>
      <c r="B1979" t="inlineStr">
        <is>
          <t>Hitesh Kandpal</t>
        </is>
      </c>
      <c r="C1979" t="inlineStr">
        <is>
          <t>hitesh.k@osmosys.co</t>
        </is>
      </c>
      <c r="D1979" t="inlineStr">
        <is>
          <t>incident-reporter</t>
        </is>
      </c>
      <c r="E1979">
        <f>HYPERLINK("http://gitlab.osmosys.co/incident-reporter/incident-reporter-angular-portal", "OQSHA Portal")</f>
        <v/>
      </c>
      <c r="F1979">
        <f>HYPERLINK("http://gitlab.osmosys.co/incident-reporter/incident-reporter-angular-portal/-/merge_requests/3398", "feat: render independent checks and sections in online library document")</f>
        <v/>
      </c>
      <c r="G1979" t="inlineStr">
        <is>
          <t>feat/add-pillars-sections</t>
        </is>
      </c>
      <c r="H1979" t="inlineStr">
        <is>
          <t>sprint-17</t>
        </is>
      </c>
      <c r="I1979" t="inlineStr">
        <is>
          <t>merged</t>
        </is>
      </c>
      <c r="J1979" t="inlineStr">
        <is>
          <t>8661849ca9a2eb5ef4d4a787b637b051e4abc349</t>
        </is>
      </c>
      <c r="K1979">
        <f>HYPERLINK("http://gitlab.osmosys.co/incident-reporter/incident-reporter-angular-portal/-/merge_requests/3398#note_235318", "Please revert and do it what Sameer mentioned, there is fix to avoid !important as Raj only said to put this and confirmed.")</f>
        <v/>
      </c>
      <c r="L1979" t="inlineStr">
        <is>
          <t>2025-07-11 16:26:47.296 IST</t>
        </is>
      </c>
      <c r="M1979" t="inlineStr">
        <is>
          <t>Soundariya B</t>
        </is>
      </c>
      <c r="N1979" t="inlineStr">
        <is>
          <t>Yes</t>
        </is>
      </c>
      <c r="O1979" t="inlineStr">
        <is>
          <t>Yes</t>
        </is>
      </c>
      <c r="P1979" t="inlineStr">
        <is>
          <t>Soundariya B</t>
        </is>
      </c>
      <c r="Q1979" t="inlineStr">
        <is>
          <t>Bad</t>
        </is>
      </c>
    </row>
    <row r="1980">
      <c r="A1980" t="inlineStr">
        <is>
          <t>hitesh.k</t>
        </is>
      </c>
      <c r="B1980" t="inlineStr">
        <is>
          <t>Hitesh Kandpal</t>
        </is>
      </c>
      <c r="C1980" t="inlineStr">
        <is>
          <t>hitesh.k@osmosys.co</t>
        </is>
      </c>
      <c r="D1980" t="inlineStr">
        <is>
          <t>incident-reporter</t>
        </is>
      </c>
      <c r="E1980">
        <f>HYPERLINK("http://gitlab.osmosys.co/incident-reporter/incident-reporter-angular-portal", "OQSHA Portal")</f>
        <v/>
      </c>
      <c r="F1980">
        <f>HYPERLINK("http://gitlab.osmosys.co/incident-reporter/incident-reporter-angular-portal/-/merge_requests/3398", "feat: render independent checks and sections in online library document")</f>
        <v/>
      </c>
      <c r="G1980" t="inlineStr">
        <is>
          <t>feat/add-pillars-sections</t>
        </is>
      </c>
      <c r="H1980" t="inlineStr">
        <is>
          <t>sprint-17</t>
        </is>
      </c>
      <c r="I1980" t="inlineStr">
        <is>
          <t>merged</t>
        </is>
      </c>
      <c r="J1980" t="inlineStr">
        <is>
          <t>8661849ca9a2eb5ef4d4a787b637b051e4abc349</t>
        </is>
      </c>
      <c r="K1980">
        <f>HYPERLINK("http://gitlab.osmosys.co/incident-reporter/incident-reporter-angular-portal/-/merge_requests/3398#note_235337", "i removed !important from this class so we don't need that comment anymore")</f>
        <v/>
      </c>
      <c r="L1980" t="inlineStr">
        <is>
          <t>2025-07-11 16:41:07.837 IST</t>
        </is>
      </c>
      <c r="M1980" t="inlineStr">
        <is>
          <t>Hitesh Kandpal</t>
        </is>
      </c>
      <c r="N1980" t="inlineStr">
        <is>
          <t>No</t>
        </is>
      </c>
      <c r="O1980" t="inlineStr">
        <is>
          <t>Yes</t>
        </is>
      </c>
      <c r="P1980" t="inlineStr">
        <is>
          <t>Soundariya B</t>
        </is>
      </c>
      <c r="Q1980" t="inlineStr">
        <is>
          <t>Bad</t>
        </is>
      </c>
    </row>
    <row r="1981">
      <c r="A1981" t="inlineStr">
        <is>
          <t>hitesh.k</t>
        </is>
      </c>
      <c r="B1981" t="inlineStr">
        <is>
          <t>Hitesh Kandpal</t>
        </is>
      </c>
      <c r="C1981" t="inlineStr">
        <is>
          <t>hitesh.k@osmosys.co</t>
        </is>
      </c>
      <c r="D1981" t="inlineStr">
        <is>
          <t>incident-reporter</t>
        </is>
      </c>
      <c r="E1981">
        <f>HYPERLINK("http://gitlab.osmosys.co/incident-reporter/incident-reporter-angular-portal", "OQSHA Portal")</f>
        <v/>
      </c>
      <c r="F1981">
        <f>HYPERLINK("http://gitlab.osmosys.co/incident-reporter/incident-reporter-angular-portal/-/merge_requests/3398", "feat: render independent checks and sections in online library document")</f>
        <v/>
      </c>
      <c r="G1981" t="inlineStr">
        <is>
          <t>feat/add-pillars-sections</t>
        </is>
      </c>
      <c r="H1981" t="inlineStr">
        <is>
          <t>sprint-17</t>
        </is>
      </c>
      <c r="I1981" t="inlineStr">
        <is>
          <t>merged</t>
        </is>
      </c>
      <c r="J1981" t="inlineStr">
        <is>
          <t>83ab2f07e4a84a536ae21696c4937308b7afb568</t>
        </is>
      </c>
      <c r="K1981">
        <f>HYPERLINK("http://gitlab.osmosys.co/incident-reporter/incident-reporter-angular-portal/-/merge_requests/3398#note_234832", "`!important` should be used only when it is absolutely required. If you are having to use this keyword too many times, there is something wrong with the HTML structure. Just a note to take.")</f>
        <v/>
      </c>
      <c r="L1981" t="inlineStr">
        <is>
          <t>2025-07-11 01:37:26.479 IST</t>
        </is>
      </c>
      <c r="M1981" t="inlineStr">
        <is>
          <t>Sameer Shaik</t>
        </is>
      </c>
      <c r="N1981" t="inlineStr">
        <is>
          <t>Yes</t>
        </is>
      </c>
      <c r="O1981" t="inlineStr">
        <is>
          <t>Yes</t>
        </is>
      </c>
      <c r="P1981" t="inlineStr">
        <is>
          <t>Soundariya B</t>
        </is>
      </c>
      <c r="Q1981" t="inlineStr">
        <is>
          <t>Neutral</t>
        </is>
      </c>
    </row>
    <row r="1982">
      <c r="A1982" t="inlineStr">
        <is>
          <t>hitesh.k</t>
        </is>
      </c>
      <c r="B1982" t="inlineStr">
        <is>
          <t>Hitesh Kandpal</t>
        </is>
      </c>
      <c r="C1982" t="inlineStr">
        <is>
          <t>hitesh.k@osmosys.co</t>
        </is>
      </c>
      <c r="D1982" t="inlineStr">
        <is>
          <t>incident-reporter</t>
        </is>
      </c>
      <c r="E1982">
        <f>HYPERLINK("http://gitlab.osmosys.co/incident-reporter/incident-reporter-angular-portal", "OQSHA Portal")</f>
        <v/>
      </c>
      <c r="F1982">
        <f>HYPERLINK("http://gitlab.osmosys.co/incident-reporter/incident-reporter-angular-portal/-/merge_requests/3398", "feat: render independent checks and sections in online library document")</f>
        <v/>
      </c>
      <c r="G1982" t="inlineStr">
        <is>
          <t>feat/add-pillars-sections</t>
        </is>
      </c>
      <c r="H1982" t="inlineStr">
        <is>
          <t>sprint-17</t>
        </is>
      </c>
      <c r="I1982" t="inlineStr">
        <is>
          <t>merged</t>
        </is>
      </c>
      <c r="J1982" t="inlineStr">
        <is>
          <t>83ab2f07e4a84a536ae21696c4937308b7afb568</t>
        </is>
      </c>
      <c r="K1982">
        <f>HYPERLINK("http://gitlab.osmosys.co/incident-reporter/incident-reporter-angular-portal/-/merge_requests/3398#note_234912", "This is most probably because we are using a built-in Angular component. These components have their own styling and classes, which can only be seen by inspecting the DOM. Sometimes, to override those classes, we need to use ::ng-deep and !important to apply custom styling — otherwise, the built-in styles override ours.")</f>
        <v/>
      </c>
      <c r="L1982" t="inlineStr">
        <is>
          <t>2025-07-11 09:39:27.422 IST</t>
        </is>
      </c>
      <c r="M1982" t="inlineStr">
        <is>
          <t>Hitesh Kandpal</t>
        </is>
      </c>
      <c r="N1982" t="inlineStr">
        <is>
          <t>No</t>
        </is>
      </c>
      <c r="O1982" t="inlineStr">
        <is>
          <t>Yes</t>
        </is>
      </c>
      <c r="P1982" t="inlineStr">
        <is>
          <t>Soundariya B</t>
        </is>
      </c>
      <c r="Q1982" t="inlineStr">
        <is>
          <t>Neutral</t>
        </is>
      </c>
    </row>
    <row r="1983">
      <c r="A1983" t="inlineStr">
        <is>
          <t>hitesh.k</t>
        </is>
      </c>
      <c r="B1983" t="inlineStr">
        <is>
          <t>Hitesh Kandpal</t>
        </is>
      </c>
      <c r="C1983" t="inlineStr">
        <is>
          <t>hitesh.k@osmosys.co</t>
        </is>
      </c>
      <c r="D1983" t="inlineStr">
        <is>
          <t>incident-reporter</t>
        </is>
      </c>
      <c r="E1983">
        <f>HYPERLINK("http://gitlab.osmosys.co/incident-reporter/incident-reporter-angular-portal", "OQSHA Portal")</f>
        <v/>
      </c>
      <c r="F1983">
        <f>HYPERLINK("http://gitlab.osmosys.co/incident-reporter/incident-reporter-angular-portal/-/merge_requests/3398", "feat: render independent checks and sections in online library document")</f>
        <v/>
      </c>
      <c r="G1983" t="inlineStr">
        <is>
          <t>feat/add-pillars-sections</t>
        </is>
      </c>
      <c r="H1983" t="inlineStr">
        <is>
          <t>sprint-17</t>
        </is>
      </c>
      <c r="I1983" t="inlineStr">
        <is>
          <t>merged</t>
        </is>
      </c>
      <c r="J1983" t="inlineStr">
        <is>
          <t>31dd403f8cf0dc0d91eb935bf69bb610b68a2ec2</t>
        </is>
      </c>
      <c r="K1983">
        <f>HYPERLINK("http://gitlab.osmosys.co/incident-reporter/incident-reporter-angular-portal/-/merge_requests/3398#note_234833", "Irrelevant CSS in this module.")</f>
        <v/>
      </c>
      <c r="L1983" t="inlineStr">
        <is>
          <t>2025-07-11 01:37:26.540 IST</t>
        </is>
      </c>
      <c r="M1983" t="inlineStr">
        <is>
          <t>Sameer Shaik</t>
        </is>
      </c>
      <c r="N1983" t="inlineStr">
        <is>
          <t>Yes</t>
        </is>
      </c>
      <c r="O1983" t="inlineStr">
        <is>
          <t>Yes</t>
        </is>
      </c>
      <c r="P1983" t="inlineStr">
        <is>
          <t>Soundariya B</t>
        </is>
      </c>
      <c r="Q1983" t="inlineStr">
        <is>
          <t>Bad</t>
        </is>
      </c>
    </row>
    <row r="1984">
      <c r="A1984" t="inlineStr">
        <is>
          <t>hitesh.k</t>
        </is>
      </c>
      <c r="B1984" t="inlineStr">
        <is>
          <t>Hitesh Kandpal</t>
        </is>
      </c>
      <c r="C1984" t="inlineStr">
        <is>
          <t>hitesh.k@osmosys.co</t>
        </is>
      </c>
      <c r="D1984" t="inlineStr">
        <is>
          <t>incident-reporter</t>
        </is>
      </c>
      <c r="E1984">
        <f>HYPERLINK("http://gitlab.osmosys.co/incident-reporter/incident-reporter-angular-portal", "OQSHA Portal")</f>
        <v/>
      </c>
      <c r="F1984">
        <f>HYPERLINK("http://gitlab.osmosys.co/incident-reporter/incident-reporter-angular-portal/-/merge_requests/3398", "feat: render independent checks and sections in online library document")</f>
        <v/>
      </c>
      <c r="G1984" t="inlineStr">
        <is>
          <t>feat/add-pillars-sections</t>
        </is>
      </c>
      <c r="H1984" t="inlineStr">
        <is>
          <t>sprint-17</t>
        </is>
      </c>
      <c r="I1984" t="inlineStr">
        <is>
          <t>merged</t>
        </is>
      </c>
      <c r="J1984" t="inlineStr">
        <is>
          <t>31dd403f8cf0dc0d91eb935bf69bb610b68a2ec2</t>
        </is>
      </c>
      <c r="K1984">
        <f>HYPERLINK("http://gitlab.osmosys.co/incident-reporter/incident-reporter-angular-portal/-/merge_requests/3398#note_234913", "removed this class")</f>
        <v/>
      </c>
      <c r="L1984" t="inlineStr">
        <is>
          <t>2025-07-11 09:39:53.555 IST</t>
        </is>
      </c>
      <c r="M1984" t="inlineStr">
        <is>
          <t>Hitesh Kandpal</t>
        </is>
      </c>
      <c r="N1984" t="inlineStr">
        <is>
          <t>No</t>
        </is>
      </c>
      <c r="O1984" t="inlineStr">
        <is>
          <t>Yes</t>
        </is>
      </c>
      <c r="P1984" t="inlineStr">
        <is>
          <t>Soundariya B</t>
        </is>
      </c>
      <c r="Q1984" t="inlineStr">
        <is>
          <t>Bad</t>
        </is>
      </c>
    </row>
    <row r="1985">
      <c r="A1985" t="inlineStr">
        <is>
          <t>hitesh.k</t>
        </is>
      </c>
      <c r="B1985" t="inlineStr">
        <is>
          <t>Hitesh Kandpal</t>
        </is>
      </c>
      <c r="C1985" t="inlineStr">
        <is>
          <t>hitesh.k@osmosys.co</t>
        </is>
      </c>
      <c r="D1985" t="inlineStr">
        <is>
          <t>incident-reporter</t>
        </is>
      </c>
      <c r="E1985">
        <f>HYPERLINK("http://gitlab.osmosys.co/incident-reporter/incident-reporter-angular-portal", "OQSHA Portal")</f>
        <v/>
      </c>
      <c r="F1985">
        <f>HYPERLINK("http://gitlab.osmosys.co/incident-reporter/incident-reporter-angular-portal/-/merge_requests/3398", "feat: render independent checks and sections in online library document")</f>
        <v/>
      </c>
      <c r="G1985" t="inlineStr">
        <is>
          <t>feat/add-pillars-sections</t>
        </is>
      </c>
      <c r="H1985" t="inlineStr">
        <is>
          <t>sprint-17</t>
        </is>
      </c>
      <c r="I1985" t="inlineStr">
        <is>
          <t>merged</t>
        </is>
      </c>
      <c r="J1985" t="inlineStr">
        <is>
          <t>eb18243b9ceb33f214eee3294e6103232de60e92</t>
        </is>
      </c>
      <c r="K1985">
        <f>HYPERLINK("http://gitlab.osmosys.co/incident-reporter/incident-reporter-angular-portal/-/merge_requests/3398#note_234834", "Does Online Library module have signatures? If not, then why don't we remove this?")</f>
        <v/>
      </c>
      <c r="L1985" t="inlineStr">
        <is>
          <t>2025-07-11 01:37:26.596 IST</t>
        </is>
      </c>
      <c r="M1985" t="inlineStr">
        <is>
          <t>Sameer Shaik</t>
        </is>
      </c>
      <c r="N1985" t="inlineStr">
        <is>
          <t>Yes</t>
        </is>
      </c>
      <c r="O1985" t="inlineStr">
        <is>
          <t>Yes</t>
        </is>
      </c>
      <c r="P1985" t="inlineStr">
        <is>
          <t>Soundariya B</t>
        </is>
      </c>
      <c r="Q1985" t="inlineStr">
        <is>
          <t>Bad</t>
        </is>
      </c>
    </row>
    <row r="1986">
      <c r="A1986" t="inlineStr">
        <is>
          <t>hitesh.k</t>
        </is>
      </c>
      <c r="B1986" t="inlineStr">
        <is>
          <t>Hitesh Kandpal</t>
        </is>
      </c>
      <c r="C1986" t="inlineStr">
        <is>
          <t>hitesh.k@osmosys.co</t>
        </is>
      </c>
      <c r="D1986" t="inlineStr">
        <is>
          <t>incident-reporter</t>
        </is>
      </c>
      <c r="E1986">
        <f>HYPERLINK("http://gitlab.osmosys.co/incident-reporter/incident-reporter-angular-portal", "OQSHA Portal")</f>
        <v/>
      </c>
      <c r="F1986">
        <f>HYPERLINK("http://gitlab.osmosys.co/incident-reporter/incident-reporter-angular-portal/-/merge_requests/3398", "feat: render independent checks and sections in online library document")</f>
        <v/>
      </c>
      <c r="G1986" t="inlineStr">
        <is>
          <t>feat/add-pillars-sections</t>
        </is>
      </c>
      <c r="H1986" t="inlineStr">
        <is>
          <t>sprint-17</t>
        </is>
      </c>
      <c r="I1986" t="inlineStr">
        <is>
          <t>merged</t>
        </is>
      </c>
      <c r="J1986" t="inlineStr">
        <is>
          <t>eb18243b9ceb33f214eee3294e6103232de60e92</t>
        </is>
      </c>
      <c r="K1986">
        <f>HYPERLINK("http://gitlab.osmosys.co/incident-reporter/incident-reporter-angular-portal/-/merge_requests/3398#note_234914", "removed unnecessary css")</f>
        <v/>
      </c>
      <c r="L1986" t="inlineStr">
        <is>
          <t>2025-07-11 09:40:52.194 IST</t>
        </is>
      </c>
      <c r="M1986" t="inlineStr">
        <is>
          <t>Hitesh Kandpal</t>
        </is>
      </c>
      <c r="N1986" t="inlineStr">
        <is>
          <t>No</t>
        </is>
      </c>
      <c r="O1986" t="inlineStr">
        <is>
          <t>Yes</t>
        </is>
      </c>
      <c r="P1986" t="inlineStr">
        <is>
          <t>Soundariya B</t>
        </is>
      </c>
      <c r="Q1986" t="inlineStr">
        <is>
          <t>Bad</t>
        </is>
      </c>
    </row>
    <row r="1987">
      <c r="A1987" t="inlineStr">
        <is>
          <t>hitesh.k</t>
        </is>
      </c>
      <c r="B1987" t="inlineStr">
        <is>
          <t>Hitesh Kandpal</t>
        </is>
      </c>
      <c r="C1987" t="inlineStr">
        <is>
          <t>hitesh.k@osmosys.co</t>
        </is>
      </c>
      <c r="D1987" t="inlineStr">
        <is>
          <t>incident-reporter</t>
        </is>
      </c>
      <c r="E1987">
        <f>HYPERLINK("http://gitlab.osmosys.co/incident-reporter/incident-reporter-angular-portal", "OQSHA Portal")</f>
        <v/>
      </c>
      <c r="F1987">
        <f>HYPERLINK("http://gitlab.osmosys.co/incident-reporter/incident-reporter-angular-portal/-/merge_requests/3398", "feat: render independent checks and sections in online library document")</f>
        <v/>
      </c>
      <c r="G1987" t="inlineStr">
        <is>
          <t>feat/add-pillars-sections</t>
        </is>
      </c>
      <c r="H1987" t="inlineStr">
        <is>
          <t>sprint-17</t>
        </is>
      </c>
      <c r="I1987" t="inlineStr">
        <is>
          <t>merged</t>
        </is>
      </c>
      <c r="J1987" t="inlineStr">
        <is>
          <t>35bf3c5e2b8f11ed723f52d2e910ed0a70f704ac</t>
        </is>
      </c>
      <c r="K1987">
        <f>HYPERLINK("http://gitlab.osmosys.co/incident-reporter/incident-reporter-angular-portal/-/merge_requests/3398#note_234835", "Is this needed in this module? It's related to Inspection.")</f>
        <v/>
      </c>
      <c r="L1987" t="inlineStr">
        <is>
          <t>2025-07-11 01:37:26.673 IST</t>
        </is>
      </c>
      <c r="M1987" t="inlineStr">
        <is>
          <t>Sameer Shaik</t>
        </is>
      </c>
      <c r="N1987" t="inlineStr">
        <is>
          <t>Yes</t>
        </is>
      </c>
      <c r="O1987" t="inlineStr">
        <is>
          <t>Yes</t>
        </is>
      </c>
      <c r="P1987" t="inlineStr">
        <is>
          <t>Soundariya B</t>
        </is>
      </c>
      <c r="Q1987" t="inlineStr">
        <is>
          <t>Bad</t>
        </is>
      </c>
    </row>
    <row r="1988">
      <c r="A1988" t="inlineStr">
        <is>
          <t>hitesh.k</t>
        </is>
      </c>
      <c r="B1988" t="inlineStr">
        <is>
          <t>Hitesh Kandpal</t>
        </is>
      </c>
      <c r="C1988" t="inlineStr">
        <is>
          <t>hitesh.k@osmosys.co</t>
        </is>
      </c>
      <c r="D1988" t="inlineStr">
        <is>
          <t>incident-reporter</t>
        </is>
      </c>
      <c r="E1988">
        <f>HYPERLINK("http://gitlab.osmosys.co/incident-reporter/incident-reporter-angular-portal", "OQSHA Portal")</f>
        <v/>
      </c>
      <c r="F1988">
        <f>HYPERLINK("http://gitlab.osmosys.co/incident-reporter/incident-reporter-angular-portal/-/merge_requests/3398", "feat: render independent checks and sections in online library document")</f>
        <v/>
      </c>
      <c r="G1988" t="inlineStr">
        <is>
          <t>feat/add-pillars-sections</t>
        </is>
      </c>
      <c r="H1988" t="inlineStr">
        <is>
          <t>sprint-17</t>
        </is>
      </c>
      <c r="I1988" t="inlineStr">
        <is>
          <t>merged</t>
        </is>
      </c>
      <c r="J1988" t="inlineStr">
        <is>
          <t>35bf3c5e2b8f11ed723f52d2e910ed0a70f704ac</t>
        </is>
      </c>
      <c r="K1988">
        <f>HYPERLINK("http://gitlab.osmosys.co/incident-reporter/incident-reporter-angular-portal/-/merge_requests/3398#note_234915", "removed it")</f>
        <v/>
      </c>
      <c r="L1988" t="inlineStr">
        <is>
          <t>2025-07-11 09:41:58.252 IST</t>
        </is>
      </c>
      <c r="M1988" t="inlineStr">
        <is>
          <t>Hitesh Kandpal</t>
        </is>
      </c>
      <c r="N1988" t="inlineStr">
        <is>
          <t>No</t>
        </is>
      </c>
      <c r="O1988" t="inlineStr">
        <is>
          <t>Yes</t>
        </is>
      </c>
      <c r="P1988" t="inlineStr">
        <is>
          <t>Soundariya B</t>
        </is>
      </c>
      <c r="Q1988" t="inlineStr">
        <is>
          <t>Bad</t>
        </is>
      </c>
    </row>
    <row r="1989">
      <c r="A1989" t="inlineStr">
        <is>
          <t>hitesh.k</t>
        </is>
      </c>
      <c r="B1989" t="inlineStr">
        <is>
          <t>Hitesh Kandpal</t>
        </is>
      </c>
      <c r="C1989" t="inlineStr">
        <is>
          <t>hitesh.k@osmosys.co</t>
        </is>
      </c>
      <c r="D1989" t="inlineStr">
        <is>
          <t>incident-reporter</t>
        </is>
      </c>
      <c r="E1989">
        <f>HYPERLINK("http://gitlab.osmosys.co/incident-reporter/incident-reporter-angular-portal", "OQSHA Portal")</f>
        <v/>
      </c>
      <c r="F1989">
        <f>HYPERLINK("http://gitlab.osmosys.co/incident-reporter/incident-reporter-angular-portal/-/merge_requests/3398", "feat: render independent checks and sections in online library document")</f>
        <v/>
      </c>
      <c r="G1989" t="inlineStr">
        <is>
          <t>feat/add-pillars-sections</t>
        </is>
      </c>
      <c r="H1989" t="inlineStr">
        <is>
          <t>sprint-17</t>
        </is>
      </c>
      <c r="I1989" t="inlineStr">
        <is>
          <t>merged</t>
        </is>
      </c>
      <c r="J1989" t="inlineStr">
        <is>
          <t>d796ffc3bcad98a3e91423cf6d8dfc54260d130e</t>
        </is>
      </c>
      <c r="K1989">
        <f>HYPERLINK("http://gitlab.osmosys.co/incident-reporter/incident-reporter-angular-portal/-/merge_requests/3398#note_234836", "Is InspectionService needed?")</f>
        <v/>
      </c>
      <c r="L1989" t="inlineStr">
        <is>
          <t>2025-07-11 01:37:26.742 IST</t>
        </is>
      </c>
      <c r="M1989" t="inlineStr">
        <is>
          <t>Sameer Shaik</t>
        </is>
      </c>
      <c r="N1989" t="inlineStr">
        <is>
          <t>Yes</t>
        </is>
      </c>
      <c r="O1989" t="inlineStr">
        <is>
          <t>Yes</t>
        </is>
      </c>
      <c r="P1989" t="inlineStr">
        <is>
          <t>Soundariya B</t>
        </is>
      </c>
      <c r="Q1989" t="inlineStr">
        <is>
          <t>Bad</t>
        </is>
      </c>
    </row>
    <row r="1990">
      <c r="A1990" t="inlineStr">
        <is>
          <t>hitesh.k</t>
        </is>
      </c>
      <c r="B1990" t="inlineStr">
        <is>
          <t>Hitesh Kandpal</t>
        </is>
      </c>
      <c r="C1990" t="inlineStr">
        <is>
          <t>hitesh.k@osmosys.co</t>
        </is>
      </c>
      <c r="D1990" t="inlineStr">
        <is>
          <t>incident-reporter</t>
        </is>
      </c>
      <c r="E1990">
        <f>HYPERLINK("http://gitlab.osmosys.co/incident-reporter/incident-reporter-angular-portal", "OQSHA Portal")</f>
        <v/>
      </c>
      <c r="F1990">
        <f>HYPERLINK("http://gitlab.osmosys.co/incident-reporter/incident-reporter-angular-portal/-/merge_requests/3398", "feat: render independent checks and sections in online library document")</f>
        <v/>
      </c>
      <c r="G1990" t="inlineStr">
        <is>
          <t>feat/add-pillars-sections</t>
        </is>
      </c>
      <c r="H1990" t="inlineStr">
        <is>
          <t>sprint-17</t>
        </is>
      </c>
      <c r="I1990" t="inlineStr">
        <is>
          <t>merged</t>
        </is>
      </c>
      <c r="J1990" t="inlineStr">
        <is>
          <t>d796ffc3bcad98a3e91423cf6d8dfc54260d130e</t>
        </is>
      </c>
      <c r="K1990">
        <f>HYPERLINK("http://gitlab.osmosys.co/incident-reporter/incident-reporter-angular-portal/-/merge_requests/3398#note_234917", "removed it, used library service instead of that")</f>
        <v/>
      </c>
      <c r="L1990" t="inlineStr">
        <is>
          <t>2025-07-11 09:42:44.125 IST</t>
        </is>
      </c>
      <c r="M1990" t="inlineStr">
        <is>
          <t>Hitesh Kandpal</t>
        </is>
      </c>
      <c r="N1990" t="inlineStr">
        <is>
          <t>No</t>
        </is>
      </c>
      <c r="O1990" t="inlineStr">
        <is>
          <t>Yes</t>
        </is>
      </c>
      <c r="P1990" t="inlineStr">
        <is>
          <t>Soundariya B</t>
        </is>
      </c>
      <c r="Q1990" t="inlineStr">
        <is>
          <t>Bad</t>
        </is>
      </c>
    </row>
    <row r="1991">
      <c r="A1991" t="inlineStr">
        <is>
          <t>hitesh.k</t>
        </is>
      </c>
      <c r="B1991" t="inlineStr">
        <is>
          <t>Hitesh Kandpal</t>
        </is>
      </c>
      <c r="C1991" t="inlineStr">
        <is>
          <t>hitesh.k@osmosys.co</t>
        </is>
      </c>
      <c r="D1991" t="inlineStr">
        <is>
          <t>incident-reporter</t>
        </is>
      </c>
      <c r="E1991">
        <f>HYPERLINK("http://gitlab.osmosys.co/incident-reporter/incident-reporter-angular-portal", "OQSHA Portal")</f>
        <v/>
      </c>
      <c r="F1991">
        <f>HYPERLINK("http://gitlab.osmosys.co/incident-reporter/incident-reporter-angular-portal/-/merge_requests/3398", "feat: render independent checks and sections in online library document")</f>
        <v/>
      </c>
      <c r="G1991" t="inlineStr">
        <is>
          <t>feat/add-pillars-sections</t>
        </is>
      </c>
      <c r="H1991" t="inlineStr">
        <is>
          <t>sprint-17</t>
        </is>
      </c>
      <c r="I1991" t="inlineStr">
        <is>
          <t>merged</t>
        </is>
      </c>
      <c r="J1991" t="inlineStr">
        <is>
          <t>249287e0bc49bf030025f248db301651803d512f</t>
        </is>
      </c>
      <c r="K1991">
        <f>HYPERLINK("http://gitlab.osmosys.co/incident-reporter/incident-reporter-angular-portal/-/merge_requests/3398#note_234837", "If else blocks should be wrapped by empty lines to make the code look readable/presentable.")</f>
        <v/>
      </c>
      <c r="L1991" t="inlineStr">
        <is>
          <t>2025-07-11 01:37:26.797 IST</t>
        </is>
      </c>
      <c r="M1991" t="inlineStr">
        <is>
          <t>Sameer Shaik</t>
        </is>
      </c>
      <c r="N1991" t="inlineStr">
        <is>
          <t>Yes</t>
        </is>
      </c>
      <c r="O1991" t="inlineStr">
        <is>
          <t>Yes</t>
        </is>
      </c>
      <c r="P1991" t="inlineStr">
        <is>
          <t>Soundariya B</t>
        </is>
      </c>
      <c r="Q1991" t="inlineStr">
        <is>
          <t>Bad</t>
        </is>
      </c>
    </row>
    <row r="1992">
      <c r="A1992" t="inlineStr">
        <is>
          <t>hitesh.k</t>
        </is>
      </c>
      <c r="B1992" t="inlineStr">
        <is>
          <t>Hitesh Kandpal</t>
        </is>
      </c>
      <c r="C1992" t="inlineStr">
        <is>
          <t>hitesh.k@osmosys.co</t>
        </is>
      </c>
      <c r="D1992" t="inlineStr">
        <is>
          <t>incident-reporter</t>
        </is>
      </c>
      <c r="E1992">
        <f>HYPERLINK("http://gitlab.osmosys.co/incident-reporter/incident-reporter-angular-portal", "OQSHA Portal")</f>
        <v/>
      </c>
      <c r="F1992">
        <f>HYPERLINK("http://gitlab.osmosys.co/incident-reporter/incident-reporter-angular-portal/-/merge_requests/3398", "feat: render independent checks and sections in online library document")</f>
        <v/>
      </c>
      <c r="G1992" t="inlineStr">
        <is>
          <t>feat/add-pillars-sections</t>
        </is>
      </c>
      <c r="H1992" t="inlineStr">
        <is>
          <t>sprint-17</t>
        </is>
      </c>
      <c r="I1992" t="inlineStr">
        <is>
          <t>merged</t>
        </is>
      </c>
      <c r="J1992" t="inlineStr">
        <is>
          <t>249287e0bc49bf030025f248db301651803d512f</t>
        </is>
      </c>
      <c r="K1992">
        <f>HYPERLINK("http://gitlab.osmosys.co/incident-reporter/incident-reporter-angular-portal/-/merge_requests/3398#note_234919", "added spacing before each if")</f>
        <v/>
      </c>
      <c r="L1992" t="inlineStr">
        <is>
          <t>2025-07-11 09:43:55.003 IST</t>
        </is>
      </c>
      <c r="M1992" t="inlineStr">
        <is>
          <t>Hitesh Kandpal</t>
        </is>
      </c>
      <c r="N1992" t="inlineStr">
        <is>
          <t>No</t>
        </is>
      </c>
      <c r="O1992" t="inlineStr">
        <is>
          <t>Yes</t>
        </is>
      </c>
      <c r="P1992" t="inlineStr">
        <is>
          <t>Soundariya B</t>
        </is>
      </c>
      <c r="Q1992" t="inlineStr">
        <is>
          <t>Bad</t>
        </is>
      </c>
    </row>
    <row r="1993">
      <c r="A1993" t="inlineStr">
        <is>
          <t>hitesh.k</t>
        </is>
      </c>
      <c r="B1993" t="inlineStr">
        <is>
          <t>Hitesh Kandpal</t>
        </is>
      </c>
      <c r="C1993" t="inlineStr">
        <is>
          <t>hitesh.k@osmosys.co</t>
        </is>
      </c>
      <c r="D1993" t="inlineStr">
        <is>
          <t>incident-reporter</t>
        </is>
      </c>
      <c r="E1993">
        <f>HYPERLINK("http://gitlab.osmosys.co/incident-reporter/incident-reporter-angular-portal", "OQSHA Portal")</f>
        <v/>
      </c>
      <c r="F1993">
        <f>HYPERLINK("http://gitlab.osmosys.co/incident-reporter/incident-reporter-angular-portal/-/merge_requests/3398", "feat: render independent checks and sections in online library document")</f>
        <v/>
      </c>
      <c r="G1993" t="inlineStr">
        <is>
          <t>feat/add-pillars-sections</t>
        </is>
      </c>
      <c r="H1993" t="inlineStr">
        <is>
          <t>sprint-17</t>
        </is>
      </c>
      <c r="I1993" t="inlineStr">
        <is>
          <t>merged</t>
        </is>
      </c>
      <c r="J1993" t="inlineStr">
        <is>
          <t>477d7d2eb57ea53e9b4a579f442dbe250b747a05</t>
        </is>
      </c>
      <c r="K1993">
        <f>HYPERLINK("http://gitlab.osmosys.co/incident-reporter/incident-reporter-angular-portal/-/merge_requests/3398#note_234838", "Do we also attach audio/video in online library?")</f>
        <v/>
      </c>
      <c r="L1993" t="inlineStr">
        <is>
          <t>2025-07-11 01:37:26.855 IST</t>
        </is>
      </c>
      <c r="M1993" t="inlineStr">
        <is>
          <t>Sameer Shaik</t>
        </is>
      </c>
      <c r="N1993" t="inlineStr">
        <is>
          <t>Yes</t>
        </is>
      </c>
      <c r="O1993" t="inlineStr">
        <is>
          <t>Yes</t>
        </is>
      </c>
      <c r="P1993" t="inlineStr">
        <is>
          <t>Soundariya B</t>
        </is>
      </c>
      <c r="Q1993" t="inlineStr">
        <is>
          <t>Neutral</t>
        </is>
      </c>
    </row>
    <row r="1994">
      <c r="A1994" t="inlineStr">
        <is>
          <t>hitesh.k</t>
        </is>
      </c>
      <c r="B1994" t="inlineStr">
        <is>
          <t>Hitesh Kandpal</t>
        </is>
      </c>
      <c r="C1994" t="inlineStr">
        <is>
          <t>hitesh.k@osmosys.co</t>
        </is>
      </c>
      <c r="D1994" t="inlineStr">
        <is>
          <t>incident-reporter</t>
        </is>
      </c>
      <c r="E1994">
        <f>HYPERLINK("http://gitlab.osmosys.co/incident-reporter/incident-reporter-angular-portal", "OQSHA Portal")</f>
        <v/>
      </c>
      <c r="F1994">
        <f>HYPERLINK("http://gitlab.osmosys.co/incident-reporter/incident-reporter-angular-portal/-/merge_requests/3398", "feat: render independent checks and sections in online library document")</f>
        <v/>
      </c>
      <c r="G1994" t="inlineStr">
        <is>
          <t>feat/add-pillars-sections</t>
        </is>
      </c>
      <c r="H1994" t="inlineStr">
        <is>
          <t>sprint-17</t>
        </is>
      </c>
      <c r="I1994" t="inlineStr">
        <is>
          <t>merged</t>
        </is>
      </c>
      <c r="J1994" t="inlineStr">
        <is>
          <t>477d7d2eb57ea53e9b4a579f442dbe250b747a05</t>
        </is>
      </c>
      <c r="K1994">
        <f>HYPERLINK("http://gitlab.osmosys.co/incident-reporter/incident-reporter-angular-portal/-/merge_requests/3398#note_234920", "yes for now it is there, MS said keep it like this right now, we will do changes here according to client needs")</f>
        <v/>
      </c>
      <c r="L1994" t="inlineStr">
        <is>
          <t>2025-07-11 09:44:35.076 IST</t>
        </is>
      </c>
      <c r="M1994" t="inlineStr">
        <is>
          <t>Hitesh Kandpal</t>
        </is>
      </c>
      <c r="N1994" t="inlineStr">
        <is>
          <t>No</t>
        </is>
      </c>
      <c r="O1994" t="inlineStr">
        <is>
          <t>Yes</t>
        </is>
      </c>
      <c r="P1994" t="inlineStr">
        <is>
          <t>Soundariya B</t>
        </is>
      </c>
      <c r="Q1994" t="inlineStr">
        <is>
          <t>Neutral</t>
        </is>
      </c>
    </row>
    <row r="1995">
      <c r="A1995" t="inlineStr">
        <is>
          <t>hitesh.k</t>
        </is>
      </c>
      <c r="B1995" t="inlineStr">
        <is>
          <t>Hitesh Kandpal</t>
        </is>
      </c>
      <c r="C1995" t="inlineStr">
        <is>
          <t>hitesh.k@osmosys.co</t>
        </is>
      </c>
      <c r="D1995" t="inlineStr">
        <is>
          <t>incident-reporter</t>
        </is>
      </c>
      <c r="E1995">
        <f>HYPERLINK("http://gitlab.osmosys.co/incident-reporter/incident-reporter-angular-portal", "OQSHA Portal")</f>
        <v/>
      </c>
      <c r="F1995">
        <f>HYPERLINK("http://gitlab.osmosys.co/incident-reporter/incident-reporter-angular-portal/-/merge_requests/3398", "feat: render independent checks and sections in online library document")</f>
        <v/>
      </c>
      <c r="G1995" t="inlineStr">
        <is>
          <t>feat/add-pillars-sections</t>
        </is>
      </c>
      <c r="H1995" t="inlineStr">
        <is>
          <t>sprint-17</t>
        </is>
      </c>
      <c r="I1995" t="inlineStr">
        <is>
          <t>merged</t>
        </is>
      </c>
      <c r="J1995" t="inlineStr">
        <is>
          <t>0a616127a27037807f07a763ace92d2a050e8e93</t>
        </is>
      </c>
      <c r="K1995">
        <f>HYPERLINK("http://gitlab.osmosys.co/incident-reporter/incident-reporter-angular-portal/-/merge_requests/3398#note_234839", "Why is this function from InspectionService used? Can't we create another service that is dedicated to Online Library and copy the same code there?")</f>
        <v/>
      </c>
      <c r="L1995" t="inlineStr">
        <is>
          <t>2025-07-11 01:37:26.935 IST</t>
        </is>
      </c>
      <c r="M1995" t="inlineStr">
        <is>
          <t>Sameer Shaik</t>
        </is>
      </c>
      <c r="N1995" t="inlineStr">
        <is>
          <t>Yes</t>
        </is>
      </c>
      <c r="O1995" t="inlineStr">
        <is>
          <t>Yes</t>
        </is>
      </c>
      <c r="P1995" t="inlineStr">
        <is>
          <t>Soundariya B</t>
        </is>
      </c>
      <c r="Q1995" t="inlineStr">
        <is>
          <t>Bad</t>
        </is>
      </c>
    </row>
    <row r="1996">
      <c r="A1996" t="inlineStr">
        <is>
          <t>hitesh.k</t>
        </is>
      </c>
      <c r="B1996" t="inlineStr">
        <is>
          <t>Hitesh Kandpal</t>
        </is>
      </c>
      <c r="C1996" t="inlineStr">
        <is>
          <t>hitesh.k@osmosys.co</t>
        </is>
      </c>
      <c r="D1996" t="inlineStr">
        <is>
          <t>incident-reporter</t>
        </is>
      </c>
      <c r="E1996">
        <f>HYPERLINK("http://gitlab.osmosys.co/incident-reporter/incident-reporter-angular-portal", "OQSHA Portal")</f>
        <v/>
      </c>
      <c r="F1996">
        <f>HYPERLINK("http://gitlab.osmosys.co/incident-reporter/incident-reporter-angular-portal/-/merge_requests/3398", "feat: render independent checks and sections in online library document")</f>
        <v/>
      </c>
      <c r="G1996" t="inlineStr">
        <is>
          <t>feat/add-pillars-sections</t>
        </is>
      </c>
      <c r="H1996" t="inlineStr">
        <is>
          <t>sprint-17</t>
        </is>
      </c>
      <c r="I1996" t="inlineStr">
        <is>
          <t>merged</t>
        </is>
      </c>
      <c r="J1996" t="inlineStr">
        <is>
          <t>0a616127a27037807f07a763ace92d2a050e8e93</t>
        </is>
      </c>
      <c r="K1996">
        <f>HYPERLINK("http://gitlab.osmosys.co/incident-reporter/incident-reporter-angular-portal/-/merge_requests/3398#note_234937", "created a dedicated fucntion only for library and used it in library service file")</f>
        <v/>
      </c>
      <c r="L1996" t="inlineStr">
        <is>
          <t>2025-07-11 10:05:00.977 IST</t>
        </is>
      </c>
      <c r="M1996" t="inlineStr">
        <is>
          <t>Hitesh Kandpal</t>
        </is>
      </c>
      <c r="N1996" t="inlineStr">
        <is>
          <t>No</t>
        </is>
      </c>
      <c r="O1996" t="inlineStr">
        <is>
          <t>Yes</t>
        </is>
      </c>
      <c r="P1996" t="inlineStr">
        <is>
          <t>Soundariya B</t>
        </is>
      </c>
      <c r="Q1996" t="inlineStr">
        <is>
          <t>Bad</t>
        </is>
      </c>
    </row>
    <row r="1997">
      <c r="A1997" t="inlineStr">
        <is>
          <t>hitesh.k</t>
        </is>
      </c>
      <c r="B1997" t="inlineStr">
        <is>
          <t>Hitesh Kandpal</t>
        </is>
      </c>
      <c r="C1997" t="inlineStr">
        <is>
          <t>hitesh.k@osmosys.co</t>
        </is>
      </c>
      <c r="D1997" t="inlineStr">
        <is>
          <t>incident-reporter</t>
        </is>
      </c>
      <c r="E1997">
        <f>HYPERLINK("http://gitlab.osmosys.co/incident-reporter/incident-reporter-angular-portal", "OQSHA Portal")</f>
        <v/>
      </c>
      <c r="F1997">
        <f>HYPERLINK("http://gitlab.osmosys.co/incident-reporter/incident-reporter-angular-portal/-/merge_requests/3398", "feat: render independent checks and sections in online library document")</f>
        <v/>
      </c>
      <c r="G1997" t="inlineStr">
        <is>
          <t>feat/add-pillars-sections</t>
        </is>
      </c>
      <c r="H1997" t="inlineStr">
        <is>
          <t>sprint-17</t>
        </is>
      </c>
      <c r="I1997" t="inlineStr">
        <is>
          <t>merged</t>
        </is>
      </c>
      <c r="J1997" t="inlineStr">
        <is>
          <t>05fcfcd0b1a8d6bac40ba65fd2b6d13a84638a9e</t>
        </is>
      </c>
      <c r="K1997">
        <f>HYPERLINK("http://gitlab.osmosys.co/incident-reporter/incident-reporter-angular-portal/-/merge_requests/3398#note_234840", "At least rename the variable name if you are copying the code from elsewhere.")</f>
        <v/>
      </c>
      <c r="L1997" t="inlineStr">
        <is>
          <t>2025-07-11 01:37:26.996 IST</t>
        </is>
      </c>
      <c r="M1997" t="inlineStr">
        <is>
          <t>Sameer Shaik</t>
        </is>
      </c>
      <c r="N1997" t="inlineStr">
        <is>
          <t>Yes</t>
        </is>
      </c>
      <c r="O1997" t="inlineStr">
        <is>
          <t>Yes</t>
        </is>
      </c>
      <c r="P1997" t="inlineStr">
        <is>
          <t>Soundariya B</t>
        </is>
      </c>
      <c r="Q1997" t="inlineStr">
        <is>
          <t>Bad</t>
        </is>
      </c>
    </row>
    <row r="1998">
      <c r="A1998" t="inlineStr">
        <is>
          <t>hitesh.k</t>
        </is>
      </c>
      <c r="B1998" t="inlineStr">
        <is>
          <t>Hitesh Kandpal</t>
        </is>
      </c>
      <c r="C1998" t="inlineStr">
        <is>
          <t>hitesh.k@osmosys.co</t>
        </is>
      </c>
      <c r="D1998" t="inlineStr">
        <is>
          <t>incident-reporter</t>
        </is>
      </c>
      <c r="E1998">
        <f>HYPERLINK("http://gitlab.osmosys.co/incident-reporter/incident-reporter-angular-portal", "OQSHA Portal")</f>
        <v/>
      </c>
      <c r="F1998">
        <f>HYPERLINK("http://gitlab.osmosys.co/incident-reporter/incident-reporter-angular-portal/-/merge_requests/3398", "feat: render independent checks and sections in online library document")</f>
        <v/>
      </c>
      <c r="G1998" t="inlineStr">
        <is>
          <t>feat/add-pillars-sections</t>
        </is>
      </c>
      <c r="H1998" t="inlineStr">
        <is>
          <t>sprint-17</t>
        </is>
      </c>
      <c r="I1998" t="inlineStr">
        <is>
          <t>merged</t>
        </is>
      </c>
      <c r="J1998" t="inlineStr">
        <is>
          <t>05fcfcd0b1a8d6bac40ba65fd2b6d13a84638a9e</t>
        </is>
      </c>
      <c r="K1998">
        <f>HYPERLINK("http://gitlab.osmosys.co/incident-reporter/incident-reporter-angular-portal/-/merge_requests/3398#note_234922", "renamed")</f>
        <v/>
      </c>
      <c r="L1998" t="inlineStr">
        <is>
          <t>2025-07-11 09:47:06.861 IST</t>
        </is>
      </c>
      <c r="M1998" t="inlineStr">
        <is>
          <t>Hitesh Kandpal</t>
        </is>
      </c>
      <c r="N1998" t="inlineStr">
        <is>
          <t>No</t>
        </is>
      </c>
      <c r="O1998" t="inlineStr">
        <is>
          <t>Yes</t>
        </is>
      </c>
      <c r="P1998" t="inlineStr">
        <is>
          <t>Soundariya B</t>
        </is>
      </c>
      <c r="Q1998" t="inlineStr">
        <is>
          <t>Bad</t>
        </is>
      </c>
    </row>
    <row r="1999">
      <c r="A1999" t="inlineStr">
        <is>
          <t>hitesh.k</t>
        </is>
      </c>
      <c r="B1999" t="inlineStr">
        <is>
          <t>Hitesh Kandpal</t>
        </is>
      </c>
      <c r="C1999" t="inlineStr">
        <is>
          <t>hitesh.k@osmosys.co</t>
        </is>
      </c>
      <c r="D1999" t="inlineStr">
        <is>
          <t>incident-reporter</t>
        </is>
      </c>
      <c r="E1999">
        <f>HYPERLINK("http://gitlab.osmosys.co/incident-reporter/incident-reporter-angular-portal", "OQSHA Portal")</f>
        <v/>
      </c>
      <c r="F1999">
        <f>HYPERLINK("http://gitlab.osmosys.co/incident-reporter/incident-reporter-angular-portal/-/merge_requests/3398", "feat: render independent checks and sections in online library document")</f>
        <v/>
      </c>
      <c r="G1999" t="inlineStr">
        <is>
          <t>feat/add-pillars-sections</t>
        </is>
      </c>
      <c r="H1999" t="inlineStr">
        <is>
          <t>sprint-17</t>
        </is>
      </c>
      <c r="I1999" t="inlineStr">
        <is>
          <t>merged</t>
        </is>
      </c>
      <c r="J1999" t="inlineStr">
        <is>
          <t>ef19f1886b9c50ae66dec5d09f83c7c7f963d07f</t>
        </is>
      </c>
      <c r="K1999">
        <f>HYPERLINK("http://gitlab.osmosys.co/incident-reporter/incident-reporter-angular-portal/-/merge_requests/3398#note_234841", "Do we have any section in translation JSON for online library. Why don't we use it? What happens when we want to change the messages specific to online library?")</f>
        <v/>
      </c>
      <c r="L1999" t="inlineStr">
        <is>
          <t>2025-07-11 01:37:27.053 IST</t>
        </is>
      </c>
      <c r="M1999" t="inlineStr">
        <is>
          <t>Sameer Shaik</t>
        </is>
      </c>
      <c r="N1999" t="inlineStr">
        <is>
          <t>Yes</t>
        </is>
      </c>
      <c r="O1999" t="inlineStr">
        <is>
          <t>Yes</t>
        </is>
      </c>
      <c r="P1999" t="inlineStr">
        <is>
          <t>Soundariya B</t>
        </is>
      </c>
      <c r="Q1999" t="inlineStr">
        <is>
          <t>Neutral</t>
        </is>
      </c>
    </row>
    <row r="2000">
      <c r="A2000" t="inlineStr">
        <is>
          <t>hitesh.k</t>
        </is>
      </c>
      <c r="B2000" t="inlineStr">
        <is>
          <t>Hitesh Kandpal</t>
        </is>
      </c>
      <c r="C2000" t="inlineStr">
        <is>
          <t>hitesh.k@osmosys.co</t>
        </is>
      </c>
      <c r="D2000" t="inlineStr">
        <is>
          <t>incident-reporter</t>
        </is>
      </c>
      <c r="E2000">
        <f>HYPERLINK("http://gitlab.osmosys.co/incident-reporter/incident-reporter-angular-portal", "OQSHA Portal")</f>
        <v/>
      </c>
      <c r="F2000">
        <f>HYPERLINK("http://gitlab.osmosys.co/incident-reporter/incident-reporter-angular-portal/-/merge_requests/3398", "feat: render independent checks and sections in online library document")</f>
        <v/>
      </c>
      <c r="G2000" t="inlineStr">
        <is>
          <t>feat/add-pillars-sections</t>
        </is>
      </c>
      <c r="H2000" t="inlineStr">
        <is>
          <t>sprint-17</t>
        </is>
      </c>
      <c r="I2000" t="inlineStr">
        <is>
          <t>merged</t>
        </is>
      </c>
      <c r="J2000" t="inlineStr">
        <is>
          <t>ef19f1886b9c50ae66dec5d09f83c7c7f963d07f</t>
        </is>
      </c>
      <c r="K2000">
        <f>HYPERLINK("http://gitlab.osmosys.co/incident-reporter/incident-reporter-angular-portal/-/merge_requests/3398#note_234923", "this is a standard messaged for all modules, and it needs to be same everywhere, adding additional line for each module is maybe redundant, this is there for consistency since all modules use this")</f>
        <v/>
      </c>
      <c r="L2000" t="inlineStr">
        <is>
          <t>2025-07-11 09:48:09.854 IST</t>
        </is>
      </c>
      <c r="M2000" t="inlineStr">
        <is>
          <t>Hitesh Kandpal</t>
        </is>
      </c>
      <c r="N2000" t="inlineStr">
        <is>
          <t>No</t>
        </is>
      </c>
      <c r="O2000" t="inlineStr">
        <is>
          <t>Yes</t>
        </is>
      </c>
      <c r="P2000" t="inlineStr">
        <is>
          <t>Soundariya B</t>
        </is>
      </c>
      <c r="Q2000" t="inlineStr">
        <is>
          <t>Neutral</t>
        </is>
      </c>
    </row>
    <row r="2001">
      <c r="A2001" t="inlineStr">
        <is>
          <t>hitesh.k</t>
        </is>
      </c>
      <c r="B2001" t="inlineStr">
        <is>
          <t>Hitesh Kandpal</t>
        </is>
      </c>
      <c r="C2001" t="inlineStr">
        <is>
          <t>hitesh.k@osmosys.co</t>
        </is>
      </c>
      <c r="D2001" t="inlineStr">
        <is>
          <t>incident-reporter</t>
        </is>
      </c>
      <c r="E2001">
        <f>HYPERLINK("http://gitlab.osmosys.co/incident-reporter/incident-reporter-angular-portal", "OQSHA Portal")</f>
        <v/>
      </c>
      <c r="F2001">
        <f>HYPERLINK("http://gitlab.osmosys.co/incident-reporter/incident-reporter-angular-portal/-/merge_requests/3398", "feat: render independent checks and sections in online library document")</f>
        <v/>
      </c>
      <c r="G2001" t="inlineStr">
        <is>
          <t>feat/add-pillars-sections</t>
        </is>
      </c>
      <c r="H2001" t="inlineStr">
        <is>
          <t>sprint-17</t>
        </is>
      </c>
      <c r="I2001" t="inlineStr">
        <is>
          <t>merged</t>
        </is>
      </c>
      <c r="J2001" t="inlineStr">
        <is>
          <t>ef19f1886b9c50ae66dec5d09f83c7c7f963d07f</t>
        </is>
      </c>
      <c r="K2001">
        <f>HYPERLINK("http://gitlab.osmosys.co/incident-reporter/incident-reporter-angular-portal/-/merge_requests/3398#note_235322", "As Sameer stating is correct but as of now across the portal using like this maintained the consistency of the media file size if we do this now we need to fix it everywhere which can be done as improvement")</f>
        <v/>
      </c>
      <c r="L2001" t="inlineStr">
        <is>
          <t>2025-07-11 16:32:35.397 IST</t>
        </is>
      </c>
      <c r="M2001" t="inlineStr">
        <is>
          <t>Soundariya B</t>
        </is>
      </c>
      <c r="N2001" t="inlineStr">
        <is>
          <t>Yes</t>
        </is>
      </c>
      <c r="O2001" t="inlineStr">
        <is>
          <t>Yes</t>
        </is>
      </c>
      <c r="P2001" t="inlineStr">
        <is>
          <t>Soundariya B</t>
        </is>
      </c>
      <c r="Q2001" t="inlineStr">
        <is>
          <t>Neutral</t>
        </is>
      </c>
    </row>
    <row r="2002">
      <c r="A2002" t="inlineStr">
        <is>
          <t>hitesh.k</t>
        </is>
      </c>
      <c r="B2002" t="inlineStr">
        <is>
          <t>Hitesh Kandpal</t>
        </is>
      </c>
      <c r="C2002" t="inlineStr">
        <is>
          <t>hitesh.k@osmosys.co</t>
        </is>
      </c>
      <c r="D2002" t="inlineStr">
        <is>
          <t>incident-reporter</t>
        </is>
      </c>
      <c r="E2002">
        <f>HYPERLINK("http://gitlab.osmosys.co/incident-reporter/incident-reporter-angular-portal", "OQSHA Portal")</f>
        <v/>
      </c>
      <c r="F2002">
        <f>HYPERLINK("http://gitlab.osmosys.co/incident-reporter/incident-reporter-angular-portal/-/merge_requests/3398", "feat: render independent checks and sections in online library document")</f>
        <v/>
      </c>
      <c r="G2002" t="inlineStr">
        <is>
          <t>feat/add-pillars-sections</t>
        </is>
      </c>
      <c r="H2002" t="inlineStr">
        <is>
          <t>sprint-17</t>
        </is>
      </c>
      <c r="I2002" t="inlineStr">
        <is>
          <t>merged</t>
        </is>
      </c>
      <c r="J2002" t="inlineStr">
        <is>
          <t>30cadd807b27007ea178d29c01577fe6cde8a368</t>
        </is>
      </c>
      <c r="K2002">
        <f>HYPERLINK("http://gitlab.osmosys.co/incident-reporter/incident-reporter-angular-portal/-/merge_requests/3398#note_234842", "Use labels dedicated to Online library.")</f>
        <v/>
      </c>
      <c r="L2002" t="inlineStr">
        <is>
          <t>2025-07-11 01:37:27.112 IST</t>
        </is>
      </c>
      <c r="M2002" t="inlineStr">
        <is>
          <t>Sameer Shaik</t>
        </is>
      </c>
      <c r="N2002" t="inlineStr">
        <is>
          <t>Yes</t>
        </is>
      </c>
      <c r="O2002" t="inlineStr">
        <is>
          <t>Yes</t>
        </is>
      </c>
      <c r="P2002" t="inlineStr">
        <is>
          <t>Soundariya B</t>
        </is>
      </c>
      <c r="Q2002" t="inlineStr">
        <is>
          <t>Neutral</t>
        </is>
      </c>
    </row>
    <row r="2003">
      <c r="A2003" t="inlineStr">
        <is>
          <t>hitesh.k</t>
        </is>
      </c>
      <c r="B2003" t="inlineStr">
        <is>
          <t>Hitesh Kandpal</t>
        </is>
      </c>
      <c r="C2003" t="inlineStr">
        <is>
          <t>hitesh.k@osmosys.co</t>
        </is>
      </c>
      <c r="D2003" t="inlineStr">
        <is>
          <t>incident-reporter</t>
        </is>
      </c>
      <c r="E2003">
        <f>HYPERLINK("http://gitlab.osmosys.co/incident-reporter/incident-reporter-angular-portal", "OQSHA Portal")</f>
        <v/>
      </c>
      <c r="F2003">
        <f>HYPERLINK("http://gitlab.osmosys.co/incident-reporter/incident-reporter-angular-portal/-/merge_requests/3398", "feat: render independent checks and sections in online library document")</f>
        <v/>
      </c>
      <c r="G2003" t="inlineStr">
        <is>
          <t>feat/add-pillars-sections</t>
        </is>
      </c>
      <c r="H2003" t="inlineStr">
        <is>
          <t>sprint-17</t>
        </is>
      </c>
      <c r="I2003" t="inlineStr">
        <is>
          <t>merged</t>
        </is>
      </c>
      <c r="J2003" t="inlineStr">
        <is>
          <t>30cadd807b27007ea178d29c01577fe6cde8a368</t>
        </is>
      </c>
      <c r="K2003">
        <f>HYPERLINK("http://gitlab.osmosys.co/incident-reporter/incident-reporter-angular-portal/-/merge_requests/3398#note_234924", "this is a standard messaged for all modules, and it needs to be same everywhere, adding additional line for each module is maybe redundant, this is there for consistency since all modules use this")</f>
        <v/>
      </c>
      <c r="L2003" t="inlineStr">
        <is>
          <t>2025-07-11 09:48:23.710 IST</t>
        </is>
      </c>
      <c r="M2003" t="inlineStr">
        <is>
          <t>Hitesh Kandpal</t>
        </is>
      </c>
      <c r="N2003" t="inlineStr">
        <is>
          <t>No</t>
        </is>
      </c>
      <c r="O2003" t="inlineStr">
        <is>
          <t>Yes</t>
        </is>
      </c>
      <c r="P2003" t="inlineStr">
        <is>
          <t>Soundariya B</t>
        </is>
      </c>
      <c r="Q2003" t="inlineStr">
        <is>
          <t>Neutral</t>
        </is>
      </c>
    </row>
    <row r="2004">
      <c r="A2004" t="inlineStr">
        <is>
          <t>hitesh.k</t>
        </is>
      </c>
      <c r="B2004" t="inlineStr">
        <is>
          <t>Hitesh Kandpal</t>
        </is>
      </c>
      <c r="C2004" t="inlineStr">
        <is>
          <t>hitesh.k@osmosys.co</t>
        </is>
      </c>
      <c r="D2004" t="inlineStr">
        <is>
          <t>incident-reporter</t>
        </is>
      </c>
      <c r="E2004">
        <f>HYPERLINK("http://gitlab.osmosys.co/incident-reporter/incident-reporter-angular-portal", "OQSHA Portal")</f>
        <v/>
      </c>
      <c r="F2004">
        <f>HYPERLINK("http://gitlab.osmosys.co/incident-reporter/incident-reporter-angular-portal/-/merge_requests/3398", "feat: render independent checks and sections in online library document")</f>
        <v/>
      </c>
      <c r="G2004" t="inlineStr">
        <is>
          <t>feat/add-pillars-sections</t>
        </is>
      </c>
      <c r="H2004" t="inlineStr">
        <is>
          <t>sprint-17</t>
        </is>
      </c>
      <c r="I2004" t="inlineStr">
        <is>
          <t>merged</t>
        </is>
      </c>
      <c r="J2004" t="inlineStr">
        <is>
          <t>30cadd807b27007ea178d29c01577fe6cde8a368</t>
        </is>
      </c>
      <c r="K2004">
        <f>HYPERLINK("http://gitlab.osmosys.co/incident-reporter/incident-reporter-angular-portal/-/merge_requests/3398#note_235150", "talked to raj regarding this he approved this for now")</f>
        <v/>
      </c>
      <c r="L2004" t="inlineStr">
        <is>
          <t>2025-07-11 14:09:58.731 IST</t>
        </is>
      </c>
      <c r="M2004" t="inlineStr">
        <is>
          <t>Hitesh Kandpal</t>
        </is>
      </c>
      <c r="N2004" t="inlineStr">
        <is>
          <t>No</t>
        </is>
      </c>
      <c r="O2004" t="inlineStr">
        <is>
          <t>Yes</t>
        </is>
      </c>
      <c r="P2004" t="inlineStr">
        <is>
          <t>Soundariya B</t>
        </is>
      </c>
      <c r="Q2004" t="inlineStr">
        <is>
          <t>Neutral</t>
        </is>
      </c>
    </row>
    <row r="2005">
      <c r="A2005" t="inlineStr">
        <is>
          <t>hitesh.k</t>
        </is>
      </c>
      <c r="B2005" t="inlineStr">
        <is>
          <t>Hitesh Kandpal</t>
        </is>
      </c>
      <c r="C2005" t="inlineStr">
        <is>
          <t>hitesh.k@osmosys.co</t>
        </is>
      </c>
      <c r="D2005" t="inlineStr">
        <is>
          <t>incident-reporter</t>
        </is>
      </c>
      <c r="E2005">
        <f>HYPERLINK("http://gitlab.osmosys.co/incident-reporter/incident-reporter-angular-portal", "OQSHA Portal")</f>
        <v/>
      </c>
      <c r="F2005">
        <f>HYPERLINK("http://gitlab.osmosys.co/incident-reporter/incident-reporter-angular-portal/-/merge_requests/3398", "feat: render independent checks and sections in online library document")</f>
        <v/>
      </c>
      <c r="G2005" t="inlineStr">
        <is>
          <t>feat/add-pillars-sections</t>
        </is>
      </c>
      <c r="H2005" t="inlineStr">
        <is>
          <t>sprint-17</t>
        </is>
      </c>
      <c r="I2005" t="inlineStr">
        <is>
          <t>merged</t>
        </is>
      </c>
      <c r="J2005" t="inlineStr">
        <is>
          <t>440d2b7c3ba7620c5834c0827b6bb9d651e5da18</t>
        </is>
      </c>
      <c r="K2005">
        <f>HYPERLINK("http://gitlab.osmosys.co/incident-reporter/incident-reporter-angular-portal/-/merge_requests/3398#note_234843", "Wrong variable names. Inspection related variable in Online library.")</f>
        <v/>
      </c>
      <c r="L2005" t="inlineStr">
        <is>
          <t>2025-07-11 01:37:27.169 IST</t>
        </is>
      </c>
      <c r="M2005" t="inlineStr">
        <is>
          <t>Sameer Shaik</t>
        </is>
      </c>
      <c r="N2005" t="inlineStr">
        <is>
          <t>Yes</t>
        </is>
      </c>
      <c r="O2005" t="inlineStr">
        <is>
          <t>Yes</t>
        </is>
      </c>
      <c r="P2005" t="inlineStr">
        <is>
          <t>Soundariya B</t>
        </is>
      </c>
      <c r="Q2005" t="inlineStr">
        <is>
          <t>Bad</t>
        </is>
      </c>
    </row>
    <row r="2006">
      <c r="A2006" t="inlineStr">
        <is>
          <t>hitesh.k</t>
        </is>
      </c>
      <c r="B2006" t="inlineStr">
        <is>
          <t>Hitesh Kandpal</t>
        </is>
      </c>
      <c r="C2006" t="inlineStr">
        <is>
          <t>hitesh.k@osmosys.co</t>
        </is>
      </c>
      <c r="D2006" t="inlineStr">
        <is>
          <t>incident-reporter</t>
        </is>
      </c>
      <c r="E2006">
        <f>HYPERLINK("http://gitlab.osmosys.co/incident-reporter/incident-reporter-angular-portal", "OQSHA Portal")</f>
        <v/>
      </c>
      <c r="F2006">
        <f>HYPERLINK("http://gitlab.osmosys.co/incident-reporter/incident-reporter-angular-portal/-/merge_requests/3398", "feat: render independent checks and sections in online library document")</f>
        <v/>
      </c>
      <c r="G2006" t="inlineStr">
        <is>
          <t>feat/add-pillars-sections</t>
        </is>
      </c>
      <c r="H2006" t="inlineStr">
        <is>
          <t>sprint-17</t>
        </is>
      </c>
      <c r="I2006" t="inlineStr">
        <is>
          <t>merged</t>
        </is>
      </c>
      <c r="J2006" t="inlineStr">
        <is>
          <t>440d2b7c3ba7620c5834c0827b6bb9d651e5da18</t>
        </is>
      </c>
      <c r="K2006">
        <f>HYPERLINK("http://gitlab.osmosys.co/incident-reporter/incident-reporter-angular-portal/-/merge_requests/3398#note_234925", "renamed it")</f>
        <v/>
      </c>
      <c r="L2006" t="inlineStr">
        <is>
          <t>2025-07-11 09:48:40.952 IST</t>
        </is>
      </c>
      <c r="M2006" t="inlineStr">
        <is>
          <t>Hitesh Kandpal</t>
        </is>
      </c>
      <c r="N2006" t="inlineStr">
        <is>
          <t>No</t>
        </is>
      </c>
      <c r="O2006" t="inlineStr">
        <is>
          <t>Yes</t>
        </is>
      </c>
      <c r="P2006" t="inlineStr">
        <is>
          <t>Soundariya B</t>
        </is>
      </c>
      <c r="Q2006" t="inlineStr">
        <is>
          <t>Bad</t>
        </is>
      </c>
    </row>
    <row r="2007">
      <c r="A2007" t="inlineStr">
        <is>
          <t>hitesh.k</t>
        </is>
      </c>
      <c r="B2007" t="inlineStr">
        <is>
          <t>Hitesh Kandpal</t>
        </is>
      </c>
      <c r="C2007" t="inlineStr">
        <is>
          <t>hitesh.k@osmosys.co</t>
        </is>
      </c>
      <c r="D2007" t="inlineStr">
        <is>
          <t>incident-reporter</t>
        </is>
      </c>
      <c r="E2007">
        <f>HYPERLINK("http://gitlab.osmosys.co/incident-reporter/incident-reporter-angular-portal", "OQSHA Portal")</f>
        <v/>
      </c>
      <c r="F2007">
        <f>HYPERLINK("http://gitlab.osmosys.co/incident-reporter/incident-reporter-angular-portal/-/merge_requests/3398", "feat: render independent checks and sections in online library document")</f>
        <v/>
      </c>
      <c r="G2007" t="inlineStr">
        <is>
          <t>feat/add-pillars-sections</t>
        </is>
      </c>
      <c r="H2007" t="inlineStr">
        <is>
          <t>sprint-17</t>
        </is>
      </c>
      <c r="I2007" t="inlineStr">
        <is>
          <t>merged</t>
        </is>
      </c>
      <c r="J2007" t="inlineStr">
        <is>
          <t>a6fb113729a55d161c85ab0961d93152a41867a1</t>
        </is>
      </c>
      <c r="K2007">
        <f>HYPERLINK("http://gitlab.osmosys.co/incident-reporter/incident-reporter-angular-portal/-/merge_requests/3398#note_234844", "Are signatures required in Online Library.")</f>
        <v/>
      </c>
      <c r="L2007" t="inlineStr">
        <is>
          <t>2025-07-11 01:37:27.225 IST</t>
        </is>
      </c>
      <c r="M2007" t="inlineStr">
        <is>
          <t>Sameer Shaik</t>
        </is>
      </c>
      <c r="N2007" t="inlineStr">
        <is>
          <t>Yes</t>
        </is>
      </c>
      <c r="O2007" t="inlineStr">
        <is>
          <t>Yes</t>
        </is>
      </c>
      <c r="P2007" t="inlineStr">
        <is>
          <t>Soundariya B</t>
        </is>
      </c>
      <c r="Q2007" t="inlineStr">
        <is>
          <t>Bad</t>
        </is>
      </c>
    </row>
    <row r="2008">
      <c r="A2008" t="inlineStr">
        <is>
          <t>hitesh.k</t>
        </is>
      </c>
      <c r="B2008" t="inlineStr">
        <is>
          <t>Hitesh Kandpal</t>
        </is>
      </c>
      <c r="C2008" t="inlineStr">
        <is>
          <t>hitesh.k@osmosys.co</t>
        </is>
      </c>
      <c r="D2008" t="inlineStr">
        <is>
          <t>incident-reporter</t>
        </is>
      </c>
      <c r="E2008">
        <f>HYPERLINK("http://gitlab.osmosys.co/incident-reporter/incident-reporter-angular-portal", "OQSHA Portal")</f>
        <v/>
      </c>
      <c r="F2008">
        <f>HYPERLINK("http://gitlab.osmosys.co/incident-reporter/incident-reporter-angular-portal/-/merge_requests/3398", "feat: render independent checks and sections in online library document")</f>
        <v/>
      </c>
      <c r="G2008" t="inlineStr">
        <is>
          <t>feat/add-pillars-sections</t>
        </is>
      </c>
      <c r="H2008" t="inlineStr">
        <is>
          <t>sprint-17</t>
        </is>
      </c>
      <c r="I2008" t="inlineStr">
        <is>
          <t>merged</t>
        </is>
      </c>
      <c r="J2008" t="inlineStr">
        <is>
          <t>a6fb113729a55d161c85ab0961d93152a41867a1</t>
        </is>
      </c>
      <c r="K2008">
        <f>HYPERLINK("http://gitlab.osmosys.co/incident-reporter/incident-reporter-angular-portal/-/merge_requests/3398#note_234926", "removed this function")</f>
        <v/>
      </c>
      <c r="L2008" t="inlineStr">
        <is>
          <t>2025-07-11 09:48:53.251 IST</t>
        </is>
      </c>
      <c r="M2008" t="inlineStr">
        <is>
          <t>Hitesh Kandpal</t>
        </is>
      </c>
      <c r="N2008" t="inlineStr">
        <is>
          <t>No</t>
        </is>
      </c>
      <c r="O2008" t="inlineStr">
        <is>
          <t>Yes</t>
        </is>
      </c>
      <c r="P2008" t="inlineStr">
        <is>
          <t>Soundariya B</t>
        </is>
      </c>
      <c r="Q2008" t="inlineStr">
        <is>
          <t>Bad</t>
        </is>
      </c>
    </row>
    <row r="2009">
      <c r="A2009" t="inlineStr">
        <is>
          <t>hitesh.k</t>
        </is>
      </c>
      <c r="B2009" t="inlineStr">
        <is>
          <t>Hitesh Kandpal</t>
        </is>
      </c>
      <c r="C2009" t="inlineStr">
        <is>
          <t>hitesh.k@osmosys.co</t>
        </is>
      </c>
      <c r="D2009" t="inlineStr">
        <is>
          <t>incident-reporter</t>
        </is>
      </c>
      <c r="E2009">
        <f>HYPERLINK("http://gitlab.osmosys.co/incident-reporter/incident-reporter-angular-portal", "OQSHA Portal")</f>
        <v/>
      </c>
      <c r="F2009">
        <f>HYPERLINK("http://gitlab.osmosys.co/incident-reporter/incident-reporter-angular-portal/-/merge_requests/3398", "feat: render independent checks and sections in online library document")</f>
        <v/>
      </c>
      <c r="G2009" t="inlineStr">
        <is>
          <t>feat/add-pillars-sections</t>
        </is>
      </c>
      <c r="H2009" t="inlineStr">
        <is>
          <t>sprint-17</t>
        </is>
      </c>
      <c r="I2009" t="inlineStr">
        <is>
          <t>merged</t>
        </is>
      </c>
      <c r="J2009" t="inlineStr">
        <is>
          <t>5fabf6bfe5f3e8f1d007d320611a33dcaf826173</t>
        </is>
      </c>
      <c r="K2009">
        <f>HYPERLINK("http://gitlab.osmosys.co/incident-reporter/incident-reporter-angular-portal/-/merge_requests/3398#note_234845", "Use labels dedicated to Online library.")</f>
        <v/>
      </c>
      <c r="L2009" t="inlineStr">
        <is>
          <t>2025-07-11 01:37:27.281 IST</t>
        </is>
      </c>
      <c r="M2009" t="inlineStr">
        <is>
          <t>Sameer Shaik</t>
        </is>
      </c>
      <c r="N2009" t="inlineStr">
        <is>
          <t>Yes</t>
        </is>
      </c>
      <c r="O2009" t="inlineStr">
        <is>
          <t>Yes</t>
        </is>
      </c>
      <c r="P2009" t="inlineStr">
        <is>
          <t>Soundariya B</t>
        </is>
      </c>
      <c r="Q2009" t="inlineStr">
        <is>
          <t>Neutral</t>
        </is>
      </c>
    </row>
    <row r="2010">
      <c r="A2010" t="inlineStr">
        <is>
          <t>hitesh.k</t>
        </is>
      </c>
      <c r="B2010" t="inlineStr">
        <is>
          <t>Hitesh Kandpal</t>
        </is>
      </c>
      <c r="C2010" t="inlineStr">
        <is>
          <t>hitesh.k@osmosys.co</t>
        </is>
      </c>
      <c r="D2010" t="inlineStr">
        <is>
          <t>incident-reporter</t>
        </is>
      </c>
      <c r="E2010">
        <f>HYPERLINK("http://gitlab.osmosys.co/incident-reporter/incident-reporter-angular-portal", "OQSHA Portal")</f>
        <v/>
      </c>
      <c r="F2010">
        <f>HYPERLINK("http://gitlab.osmosys.co/incident-reporter/incident-reporter-angular-portal/-/merge_requests/3398", "feat: render independent checks and sections in online library document")</f>
        <v/>
      </c>
      <c r="G2010" t="inlineStr">
        <is>
          <t>feat/add-pillars-sections</t>
        </is>
      </c>
      <c r="H2010" t="inlineStr">
        <is>
          <t>sprint-17</t>
        </is>
      </c>
      <c r="I2010" t="inlineStr">
        <is>
          <t>merged</t>
        </is>
      </c>
      <c r="J2010" t="inlineStr">
        <is>
          <t>5fabf6bfe5f3e8f1d007d320611a33dcaf826173</t>
        </is>
      </c>
      <c r="K2010">
        <f>HYPERLINK("http://gitlab.osmosys.co/incident-reporter/incident-reporter-angular-portal/-/merge_requests/3398#note_234927", "this is a standard messaged for all modules, and it needs to be same everywhere, adding additional line for each module is maybe redundant, this is there for consistency since all modules use this")</f>
        <v/>
      </c>
      <c r="L2010" t="inlineStr">
        <is>
          <t>2025-07-11 09:49:11.444 IST</t>
        </is>
      </c>
      <c r="M2010" t="inlineStr">
        <is>
          <t>Hitesh Kandpal</t>
        </is>
      </c>
      <c r="N2010" t="inlineStr">
        <is>
          <t>No</t>
        </is>
      </c>
      <c r="O2010" t="inlineStr">
        <is>
          <t>Yes</t>
        </is>
      </c>
      <c r="P2010" t="inlineStr">
        <is>
          <t>Soundariya B</t>
        </is>
      </c>
      <c r="Q2010" t="inlineStr">
        <is>
          <t>Neutral</t>
        </is>
      </c>
    </row>
    <row r="2011">
      <c r="A2011" t="inlineStr">
        <is>
          <t>hitesh.k</t>
        </is>
      </c>
      <c r="B2011" t="inlineStr">
        <is>
          <t>Hitesh Kandpal</t>
        </is>
      </c>
      <c r="C2011" t="inlineStr">
        <is>
          <t>hitesh.k@osmosys.co</t>
        </is>
      </c>
      <c r="D2011" t="inlineStr">
        <is>
          <t>incident-reporter</t>
        </is>
      </c>
      <c r="E2011">
        <f>HYPERLINK("http://gitlab.osmosys.co/incident-reporter/incident-reporter-angular-portal", "OQSHA Portal")</f>
        <v/>
      </c>
      <c r="F2011">
        <f>HYPERLINK("http://gitlab.osmosys.co/incident-reporter/incident-reporter-angular-portal/-/merge_requests/3398", "feat: render independent checks and sections in online library document")</f>
        <v/>
      </c>
      <c r="G2011" t="inlineStr">
        <is>
          <t>feat/add-pillars-sections</t>
        </is>
      </c>
      <c r="H2011" t="inlineStr">
        <is>
          <t>sprint-17</t>
        </is>
      </c>
      <c r="I2011" t="inlineStr">
        <is>
          <t>merged</t>
        </is>
      </c>
      <c r="J2011" t="inlineStr">
        <is>
          <t>5fabf6bfe5f3e8f1d007d320611a33dcaf826173</t>
        </is>
      </c>
      <c r="K2011">
        <f>HYPERLINK("http://gitlab.osmosys.co/incident-reporter/incident-reporter-angular-portal/-/merge_requests/3398#note_235151", "talked to raj regarding this he approved this for now")</f>
        <v/>
      </c>
      <c r="L2011" t="inlineStr">
        <is>
          <t>2025-07-11 14:10:09.669 IST</t>
        </is>
      </c>
      <c r="M2011" t="inlineStr">
        <is>
          <t>Hitesh Kandpal</t>
        </is>
      </c>
      <c r="N2011" t="inlineStr">
        <is>
          <t>No</t>
        </is>
      </c>
      <c r="O2011" t="inlineStr">
        <is>
          <t>Yes</t>
        </is>
      </c>
      <c r="P2011" t="inlineStr">
        <is>
          <t>Soundariya B</t>
        </is>
      </c>
      <c r="Q2011" t="inlineStr">
        <is>
          <t>Neutral</t>
        </is>
      </c>
    </row>
    <row r="2012">
      <c r="A2012" t="inlineStr">
        <is>
          <t>hitesh.k</t>
        </is>
      </c>
      <c r="B2012" t="inlineStr">
        <is>
          <t>Hitesh Kandpal</t>
        </is>
      </c>
      <c r="C2012" t="inlineStr">
        <is>
          <t>hitesh.k@osmosys.co</t>
        </is>
      </c>
      <c r="D2012" t="inlineStr">
        <is>
          <t>incident-reporter</t>
        </is>
      </c>
      <c r="E2012">
        <f>HYPERLINK("http://gitlab.osmosys.co/incident-reporter/incident-reporter-angular-portal", "OQSHA Portal")</f>
        <v/>
      </c>
      <c r="F2012">
        <f>HYPERLINK("http://gitlab.osmosys.co/incident-reporter/incident-reporter-angular-portal/-/merge_requests/3398", "feat: render independent checks and sections in online library document")</f>
        <v/>
      </c>
      <c r="G2012" t="inlineStr">
        <is>
          <t>feat/add-pillars-sections</t>
        </is>
      </c>
      <c r="H2012" t="inlineStr">
        <is>
          <t>sprint-17</t>
        </is>
      </c>
      <c r="I2012" t="inlineStr">
        <is>
          <t>merged</t>
        </is>
      </c>
      <c r="J2012" t="inlineStr">
        <is>
          <t>9a41378bd5836378f98a2e739692908db1776292</t>
        </is>
      </c>
      <c r="K2012">
        <f>HYPERLINK("http://gitlab.osmosys.co/incident-reporter/incident-reporter-angular-portal/-/merge_requests/3398#note_234846", "Is this function used at all in Library module?")</f>
        <v/>
      </c>
      <c r="L2012" t="inlineStr">
        <is>
          <t>2025-07-11 01:37:27.338 IST</t>
        </is>
      </c>
      <c r="M2012" t="inlineStr">
        <is>
          <t>Sameer Shaik</t>
        </is>
      </c>
      <c r="N2012" t="inlineStr">
        <is>
          <t>Yes</t>
        </is>
      </c>
      <c r="O2012" t="inlineStr">
        <is>
          <t>Yes</t>
        </is>
      </c>
      <c r="P2012" t="inlineStr">
        <is>
          <t>Soundariya B</t>
        </is>
      </c>
      <c r="Q2012" t="inlineStr">
        <is>
          <t>Neutral</t>
        </is>
      </c>
    </row>
    <row r="2013">
      <c r="A2013" t="inlineStr">
        <is>
          <t>hitesh.k</t>
        </is>
      </c>
      <c r="B2013" t="inlineStr">
        <is>
          <t>Hitesh Kandpal</t>
        </is>
      </c>
      <c r="C2013" t="inlineStr">
        <is>
          <t>hitesh.k@osmosys.co</t>
        </is>
      </c>
      <c r="D2013" t="inlineStr">
        <is>
          <t>incident-reporter</t>
        </is>
      </c>
      <c r="E2013">
        <f>HYPERLINK("http://gitlab.osmosys.co/incident-reporter/incident-reporter-angular-portal", "OQSHA Portal")</f>
        <v/>
      </c>
      <c r="F2013">
        <f>HYPERLINK("http://gitlab.osmosys.co/incident-reporter/incident-reporter-angular-portal/-/merge_requests/3398", "feat: render independent checks and sections in online library document")</f>
        <v/>
      </c>
      <c r="G2013" t="inlineStr">
        <is>
          <t>feat/add-pillars-sections</t>
        </is>
      </c>
      <c r="H2013" t="inlineStr">
        <is>
          <t>sprint-17</t>
        </is>
      </c>
      <c r="I2013" t="inlineStr">
        <is>
          <t>merged</t>
        </is>
      </c>
      <c r="J2013" t="inlineStr">
        <is>
          <t>9a41378bd5836378f98a2e739692908db1776292</t>
        </is>
      </c>
      <c r="K2013">
        <f>HYPERLINK("http://gitlab.osmosys.co/incident-reporter/incident-reporter-angular-portal/-/merge_requests/3398#note_234928", "yes it is being called in an another function")</f>
        <v/>
      </c>
      <c r="L2013" t="inlineStr">
        <is>
          <t>2025-07-11 09:51:19.832 IST</t>
        </is>
      </c>
      <c r="M2013" t="inlineStr">
        <is>
          <t>Hitesh Kandpal</t>
        </is>
      </c>
      <c r="N2013" t="inlineStr">
        <is>
          <t>No</t>
        </is>
      </c>
      <c r="O2013" t="inlineStr">
        <is>
          <t>Yes</t>
        </is>
      </c>
      <c r="P2013" t="inlineStr">
        <is>
          <t>Soundariya B</t>
        </is>
      </c>
      <c r="Q2013" t="inlineStr">
        <is>
          <t>Neutral</t>
        </is>
      </c>
    </row>
    <row r="2014">
      <c r="A2014" t="inlineStr">
        <is>
          <t>hitesh.k</t>
        </is>
      </c>
      <c r="B2014" t="inlineStr">
        <is>
          <t>Hitesh Kandpal</t>
        </is>
      </c>
      <c r="C2014" t="inlineStr">
        <is>
          <t>hitesh.k@osmosys.co</t>
        </is>
      </c>
      <c r="D2014" t="inlineStr">
        <is>
          <t>incident-reporter</t>
        </is>
      </c>
      <c r="E2014">
        <f>HYPERLINK("http://gitlab.osmosys.co/incident-reporter/incident-reporter-angular-portal", "OQSHA Portal")</f>
        <v/>
      </c>
      <c r="F2014">
        <f>HYPERLINK("http://gitlab.osmosys.co/incident-reporter/incident-reporter-angular-portal/-/merge_requests/3398", "feat: render independent checks and sections in online library document")</f>
        <v/>
      </c>
      <c r="G2014" t="inlineStr">
        <is>
          <t>feat/add-pillars-sections</t>
        </is>
      </c>
      <c r="H2014" t="inlineStr">
        <is>
          <t>sprint-17</t>
        </is>
      </c>
      <c r="I2014" t="inlineStr">
        <is>
          <t>merged</t>
        </is>
      </c>
      <c r="J2014" t="inlineStr">
        <is>
          <t>8fa84ecd0ab0a69bb2550d448c2173c7d8ed8221</t>
        </is>
      </c>
      <c r="K2014">
        <f>HYPERLINK("http://gitlab.osmosys.co/incident-reporter/incident-reporter-angular-portal/-/merge_requests/3398#note_234847", "Do we really have time related stuff in Online library as per the business requirement?
Did you check with Raj?")</f>
        <v/>
      </c>
      <c r="L2014" t="inlineStr">
        <is>
          <t>2025-07-11 01:37:27.394 IST</t>
        </is>
      </c>
      <c r="M2014" t="inlineStr">
        <is>
          <t>Sameer Shaik</t>
        </is>
      </c>
      <c r="N2014" t="inlineStr">
        <is>
          <t>Yes</t>
        </is>
      </c>
      <c r="O2014" t="inlineStr">
        <is>
          <t>Yes</t>
        </is>
      </c>
      <c r="P2014" t="inlineStr">
        <is>
          <t>Soundariya B</t>
        </is>
      </c>
      <c r="Q2014" t="inlineStr">
        <is>
          <t>Neutral</t>
        </is>
      </c>
    </row>
    <row r="2015">
      <c r="A2015" t="inlineStr">
        <is>
          <t>hitesh.k</t>
        </is>
      </c>
      <c r="B2015" t="inlineStr">
        <is>
          <t>Hitesh Kandpal</t>
        </is>
      </c>
      <c r="C2015" t="inlineStr">
        <is>
          <t>hitesh.k@osmosys.co</t>
        </is>
      </c>
      <c r="D2015" t="inlineStr">
        <is>
          <t>incident-reporter</t>
        </is>
      </c>
      <c r="E2015">
        <f>HYPERLINK("http://gitlab.osmosys.co/incident-reporter/incident-reporter-angular-portal", "OQSHA Portal")</f>
        <v/>
      </c>
      <c r="F2015">
        <f>HYPERLINK("http://gitlab.osmosys.co/incident-reporter/incident-reporter-angular-portal/-/merge_requests/3398", "feat: render independent checks and sections in online library document")</f>
        <v/>
      </c>
      <c r="G2015" t="inlineStr">
        <is>
          <t>feat/add-pillars-sections</t>
        </is>
      </c>
      <c r="H2015" t="inlineStr">
        <is>
          <t>sprint-17</t>
        </is>
      </c>
      <c r="I2015" t="inlineStr">
        <is>
          <t>merged</t>
        </is>
      </c>
      <c r="J2015" t="inlineStr">
        <is>
          <t>8fa84ecd0ab0a69bb2550d448c2173c7d8ed8221</t>
        </is>
      </c>
      <c r="K2015">
        <f>HYPERLINK("http://gitlab.osmosys.co/incident-reporter/incident-reporter-angular-portal/-/merge_requests/3398#note_234929", "yes we have time, date, datetime checks in library module, this is confirmed by MS since he was the one under whom i worked for the pillar setup, there he mentioned that for now we need everything else, only checks we don't need are matrix, equation")</f>
        <v/>
      </c>
      <c r="L2015" t="inlineStr">
        <is>
          <t>2025-07-11 09:52:19.094 IST</t>
        </is>
      </c>
      <c r="M2015" t="inlineStr">
        <is>
          <t>Hitesh Kandpal</t>
        </is>
      </c>
      <c r="N2015" t="inlineStr">
        <is>
          <t>No</t>
        </is>
      </c>
      <c r="O2015" t="inlineStr">
        <is>
          <t>Yes</t>
        </is>
      </c>
      <c r="P2015" t="inlineStr">
        <is>
          <t>Soundariya B</t>
        </is>
      </c>
      <c r="Q2015" t="inlineStr">
        <is>
          <t>Neutral</t>
        </is>
      </c>
    </row>
    <row r="2016">
      <c r="A2016" t="inlineStr">
        <is>
          <t>hitesh.k</t>
        </is>
      </c>
      <c r="B2016" t="inlineStr">
        <is>
          <t>Hitesh Kandpal</t>
        </is>
      </c>
      <c r="C2016" t="inlineStr">
        <is>
          <t>hitesh.k@osmosys.co</t>
        </is>
      </c>
      <c r="D2016" t="inlineStr">
        <is>
          <t>incident-reporter</t>
        </is>
      </c>
      <c r="E2016">
        <f>HYPERLINK("http://gitlab.osmosys.co/incident-reporter/incident-reporter-angular-portal", "OQSHA Portal")</f>
        <v/>
      </c>
      <c r="F2016">
        <f>HYPERLINK("http://gitlab.osmosys.co/incident-reporter/incident-reporter-angular-portal/-/merge_requests/3398", "feat: render independent checks and sections in online library document")</f>
        <v/>
      </c>
      <c r="G2016" t="inlineStr">
        <is>
          <t>feat/add-pillars-sections</t>
        </is>
      </c>
      <c r="H2016" t="inlineStr">
        <is>
          <t>sprint-17</t>
        </is>
      </c>
      <c r="I2016" t="inlineStr">
        <is>
          <t>merged</t>
        </is>
      </c>
      <c r="J2016" t="inlineStr">
        <is>
          <t>9b0b6d339643c5d58d38cf8a61c092bb8e9e6980</t>
        </is>
      </c>
      <c r="K2016">
        <f>HYPERLINK("http://gitlab.osmosys.co/incident-reporter/incident-reporter-angular-portal/-/merge_requests/3398#note_234848", "Use library related messages/labels")</f>
        <v/>
      </c>
      <c r="L2016" t="inlineStr">
        <is>
          <t>2025-07-11 01:37:27.499 IST</t>
        </is>
      </c>
      <c r="M2016" t="inlineStr">
        <is>
          <t>Sameer Shaik</t>
        </is>
      </c>
      <c r="N2016" t="inlineStr">
        <is>
          <t>Yes</t>
        </is>
      </c>
      <c r="O2016" t="inlineStr">
        <is>
          <t>Yes</t>
        </is>
      </c>
      <c r="P2016" t="inlineStr">
        <is>
          <t>Soundariya B</t>
        </is>
      </c>
      <c r="Q2016" t="inlineStr">
        <is>
          <t>Neutral</t>
        </is>
      </c>
    </row>
    <row r="2017">
      <c r="A2017" t="inlineStr">
        <is>
          <t>hitesh.k</t>
        </is>
      </c>
      <c r="B2017" t="inlineStr">
        <is>
          <t>Hitesh Kandpal</t>
        </is>
      </c>
      <c r="C2017" t="inlineStr">
        <is>
          <t>hitesh.k@osmosys.co</t>
        </is>
      </c>
      <c r="D2017" t="inlineStr">
        <is>
          <t>incident-reporter</t>
        </is>
      </c>
      <c r="E2017">
        <f>HYPERLINK("http://gitlab.osmosys.co/incident-reporter/incident-reporter-angular-portal", "OQSHA Portal")</f>
        <v/>
      </c>
      <c r="F2017">
        <f>HYPERLINK("http://gitlab.osmosys.co/incident-reporter/incident-reporter-angular-portal/-/merge_requests/3398", "feat: render independent checks and sections in online library document")</f>
        <v/>
      </c>
      <c r="G2017" t="inlineStr">
        <is>
          <t>feat/add-pillars-sections</t>
        </is>
      </c>
      <c r="H2017" t="inlineStr">
        <is>
          <t>sprint-17</t>
        </is>
      </c>
      <c r="I2017" t="inlineStr">
        <is>
          <t>merged</t>
        </is>
      </c>
      <c r="J2017" t="inlineStr">
        <is>
          <t>9b0b6d339643c5d58d38cf8a61c092bb8e9e6980</t>
        </is>
      </c>
      <c r="K2017">
        <f>HYPERLINK("http://gitlab.osmosys.co/incident-reporter/incident-reporter-angular-portal/-/merge_requests/3398#note_234930", "this is a standard messaged for all modules, and it needs to be same everywhere, adding additional line for each module is maybe redundant, this is there for consistency since all modules use this")</f>
        <v/>
      </c>
      <c r="L2017" t="inlineStr">
        <is>
          <t>2025-07-11 09:52:35.614 IST</t>
        </is>
      </c>
      <c r="M2017" t="inlineStr">
        <is>
          <t>Hitesh Kandpal</t>
        </is>
      </c>
      <c r="N2017" t="inlineStr">
        <is>
          <t>No</t>
        </is>
      </c>
      <c r="O2017" t="inlineStr">
        <is>
          <t>Yes</t>
        </is>
      </c>
      <c r="P2017" t="inlineStr">
        <is>
          <t>Soundariya B</t>
        </is>
      </c>
      <c r="Q2017" t="inlineStr">
        <is>
          <t>Neutral</t>
        </is>
      </c>
    </row>
    <row r="2018">
      <c r="A2018" t="inlineStr">
        <is>
          <t>hitesh.k</t>
        </is>
      </c>
      <c r="B2018" t="inlineStr">
        <is>
          <t>Hitesh Kandpal</t>
        </is>
      </c>
      <c r="C2018" t="inlineStr">
        <is>
          <t>hitesh.k@osmosys.co</t>
        </is>
      </c>
      <c r="D2018" t="inlineStr">
        <is>
          <t>incident-reporter</t>
        </is>
      </c>
      <c r="E2018">
        <f>HYPERLINK("http://gitlab.osmosys.co/incident-reporter/incident-reporter-angular-portal", "OQSHA Portal")</f>
        <v/>
      </c>
      <c r="F2018">
        <f>HYPERLINK("http://gitlab.osmosys.co/incident-reporter/incident-reporter-angular-portal/-/merge_requests/3398", "feat: render independent checks and sections in online library document")</f>
        <v/>
      </c>
      <c r="G2018" t="inlineStr">
        <is>
          <t>feat/add-pillars-sections</t>
        </is>
      </c>
      <c r="H2018" t="inlineStr">
        <is>
          <t>sprint-17</t>
        </is>
      </c>
      <c r="I2018" t="inlineStr">
        <is>
          <t>merged</t>
        </is>
      </c>
      <c r="J2018" t="inlineStr">
        <is>
          <t>9b0b6d339643c5d58d38cf8a61c092bb8e9e6980</t>
        </is>
      </c>
      <c r="K2018">
        <f>HYPERLINK("http://gitlab.osmosys.co/incident-reporter/incident-reporter-angular-portal/-/merge_requests/3398#note_235152", "talked to raj regarding this he approved this for now")</f>
        <v/>
      </c>
      <c r="L2018" t="inlineStr">
        <is>
          <t>2025-07-11 14:10:22.482 IST</t>
        </is>
      </c>
      <c r="M2018" t="inlineStr">
        <is>
          <t>Hitesh Kandpal</t>
        </is>
      </c>
      <c r="N2018" t="inlineStr">
        <is>
          <t>No</t>
        </is>
      </c>
      <c r="O2018" t="inlineStr">
        <is>
          <t>Yes</t>
        </is>
      </c>
      <c r="P2018" t="inlineStr">
        <is>
          <t>Soundariya B</t>
        </is>
      </c>
      <c r="Q2018" t="inlineStr">
        <is>
          <t>Neutral</t>
        </is>
      </c>
    </row>
    <row r="2019">
      <c r="A2019" t="inlineStr">
        <is>
          <t>hitesh.k</t>
        </is>
      </c>
      <c r="B2019" t="inlineStr">
        <is>
          <t>Hitesh Kandpal</t>
        </is>
      </c>
      <c r="C2019" t="inlineStr">
        <is>
          <t>hitesh.k@osmosys.co</t>
        </is>
      </c>
      <c r="D2019" t="inlineStr">
        <is>
          <t>incident-reporter</t>
        </is>
      </c>
      <c r="E2019">
        <f>HYPERLINK("http://gitlab.osmosys.co/incident-reporter/incident-reporter-angular-portal", "OQSHA Portal")</f>
        <v/>
      </c>
      <c r="F2019">
        <f>HYPERLINK("http://gitlab.osmosys.co/incident-reporter/incident-reporter-angular-portal/-/merge_requests/3389", "feat: add slickgrid for hira activities")</f>
        <v/>
      </c>
      <c r="G2019" t="inlineStr">
        <is>
          <t>feat/add-slickgrid</t>
        </is>
      </c>
      <c r="H2019" t="inlineStr">
        <is>
          <t>sprint-18</t>
        </is>
      </c>
      <c r="I2019" t="inlineStr">
        <is>
          <t>merged</t>
        </is>
      </c>
      <c r="J2019" t="inlineStr">
        <is>
          <t>4a2ccfaf49f0b02a1c4248b2c9a8b4a9abdef646</t>
        </is>
      </c>
      <c r="K2019">
        <f>HYPERLINK("http://gitlab.osmosys.co/incident-reporter/incident-reporter-angular-portal/-/merge_requests/3389#note_241406", "There are multiple instances of `any` usage in this file, which is not good practice at least for OQSHA long term maintainability, we should replace them with typed interfaces (e.g., EquationNode, HiraApiResponse). Alternatively, using unknown with proper type guards provides a safer fallback without losing type safety.")</f>
        <v/>
      </c>
      <c r="L2019" t="inlineStr">
        <is>
          <t>2025-07-24 16:03:30.335 IST</t>
        </is>
      </c>
      <c r="M2019" t="inlineStr">
        <is>
          <t>Anand Prakash</t>
        </is>
      </c>
      <c r="N2019" t="inlineStr">
        <is>
          <t>Yes</t>
        </is>
      </c>
      <c r="O2019" t="inlineStr">
        <is>
          <t>Yes</t>
        </is>
      </c>
      <c r="P2019" t="inlineStr">
        <is>
          <t>Anand Prakash</t>
        </is>
      </c>
      <c r="Q2019" t="inlineStr">
        <is>
          <t>Good</t>
        </is>
      </c>
    </row>
    <row r="2020">
      <c r="A2020" t="inlineStr">
        <is>
          <t>hitesh.k</t>
        </is>
      </c>
      <c r="B2020" t="inlineStr">
        <is>
          <t>Hitesh Kandpal</t>
        </is>
      </c>
      <c r="C2020" t="inlineStr">
        <is>
          <t>hitesh.k@osmosys.co</t>
        </is>
      </c>
      <c r="D2020" t="inlineStr">
        <is>
          <t>incident-reporter</t>
        </is>
      </c>
      <c r="E2020">
        <f>HYPERLINK("http://gitlab.osmosys.co/incident-reporter/incident-reporter-angular-portal", "OQSHA Portal")</f>
        <v/>
      </c>
      <c r="F2020">
        <f>HYPERLINK("http://gitlab.osmosys.co/incident-reporter/incident-reporter-angular-portal/-/merge_requests/3389", "feat: add slickgrid for hira activities")</f>
        <v/>
      </c>
      <c r="G2020" t="inlineStr">
        <is>
          <t>feat/add-slickgrid</t>
        </is>
      </c>
      <c r="H2020" t="inlineStr">
        <is>
          <t>sprint-18</t>
        </is>
      </c>
      <c r="I2020" t="inlineStr">
        <is>
          <t>merged</t>
        </is>
      </c>
      <c r="J2020" t="inlineStr">
        <is>
          <t>4a2ccfaf49f0b02a1c4248b2c9a8b4a9abdef646</t>
        </is>
      </c>
      <c r="K2020">
        <f>HYPERLINK("http://gitlab.osmosys.co/incident-reporter/incident-reporter-angular-portal/-/merge_requests/3389#note_241619", "now looks good")</f>
        <v/>
      </c>
      <c r="L2020" t="inlineStr">
        <is>
          <t>2025-07-24 23:32:00.055 IST</t>
        </is>
      </c>
      <c r="M2020" t="inlineStr">
        <is>
          <t>Anand Prakash</t>
        </is>
      </c>
      <c r="N2020" t="inlineStr">
        <is>
          <t>Yes</t>
        </is>
      </c>
      <c r="O2020" t="inlineStr">
        <is>
          <t>Yes</t>
        </is>
      </c>
      <c r="P2020" t="inlineStr">
        <is>
          <t>Anand Prakash</t>
        </is>
      </c>
      <c r="Q2020" t="inlineStr">
        <is>
          <t>Good</t>
        </is>
      </c>
    </row>
    <row r="2021">
      <c r="A2021" t="inlineStr">
        <is>
          <t>hitesh.k</t>
        </is>
      </c>
      <c r="B2021" t="inlineStr">
        <is>
          <t>Hitesh Kandpal</t>
        </is>
      </c>
      <c r="C2021" t="inlineStr">
        <is>
          <t>hitesh.k@osmosys.co</t>
        </is>
      </c>
      <c r="D2021" t="inlineStr">
        <is>
          <t>incident-reporter</t>
        </is>
      </c>
      <c r="E2021">
        <f>HYPERLINK("http://gitlab.osmosys.co/incident-reporter/incident-reporter-app", "OQSHA Mobile App")</f>
        <v/>
      </c>
      <c r="F2021">
        <f>HYPERLINK("http://gitlab.osmosys.co/incident-reporter/incident-reporter-app/-/merge_requests/1864", "fix: render standalone checks in edit library")</f>
        <v/>
      </c>
      <c r="G2021" t="inlineStr">
        <is>
          <t>fix/render-edit-library</t>
        </is>
      </c>
      <c r="H2021" t="inlineStr">
        <is>
          <t>sprint-19</t>
        </is>
      </c>
      <c r="I2021" t="inlineStr">
        <is>
          <t>merged</t>
        </is>
      </c>
      <c r="J2021" t="inlineStr"/>
      <c r="K2021" t="inlineStr"/>
      <c r="L2021" t="inlineStr"/>
      <c r="M2021" t="inlineStr"/>
      <c r="N2021" t="inlineStr"/>
      <c r="O2021" t="inlineStr"/>
      <c r="P2021" t="inlineStr"/>
      <c r="Q2021" t="inlineStr"/>
    </row>
    <row r="2022">
      <c r="A2022" t="inlineStr">
        <is>
          <t>hitesh.k</t>
        </is>
      </c>
      <c r="B2022" t="inlineStr">
        <is>
          <t>Hitesh Kandpal</t>
        </is>
      </c>
      <c r="C2022" t="inlineStr">
        <is>
          <t>hitesh.k@osmosys.co</t>
        </is>
      </c>
      <c r="D2022" t="inlineStr">
        <is>
          <t>incident-reporter</t>
        </is>
      </c>
      <c r="E2022">
        <f>HYPERLINK("http://gitlab.osmosys.co/incident-reporter/incident-reporter-app", "OQSHA Mobile App")</f>
        <v/>
      </c>
      <c r="F2022">
        <f>HYPERLINK("http://gitlab.osmosys.co/incident-reporter/incident-reporter-app/-/merge_requests/1858", "fix: render standalone checks for library")</f>
        <v/>
      </c>
      <c r="G2022" t="inlineStr">
        <is>
          <t>fix/library-standalone-checks</t>
        </is>
      </c>
      <c r="H2022" t="inlineStr">
        <is>
          <t>sprint-19</t>
        </is>
      </c>
      <c r="I2022" t="inlineStr">
        <is>
          <t>merged</t>
        </is>
      </c>
      <c r="J2022" t="inlineStr">
        <is>
          <t>f41e2ad48035189043198bd0d33aed75a945f57e</t>
        </is>
      </c>
      <c r="K2022">
        <f>HYPERLINK("http://gitlab.osmosys.co/incident-reporter/incident-reporter-app/-/merge_requests/1858#note_246246", "Small fix - Remove 1 space after asterisk mark of categories field
![image](/uploads/b5475becc3a1becb6addd6bd8ce5538d/image.png)")</f>
        <v/>
      </c>
      <c r="L2022" t="inlineStr">
        <is>
          <t>2025-08-02 14:05:35.547 IST</t>
        </is>
      </c>
      <c r="M2022" t="inlineStr">
        <is>
          <t>Soundariya B</t>
        </is>
      </c>
      <c r="N2022" t="inlineStr">
        <is>
          <t>Yes</t>
        </is>
      </c>
      <c r="O2022" t="inlineStr">
        <is>
          <t>Yes</t>
        </is>
      </c>
      <c r="P2022" t="inlineStr">
        <is>
          <t>Soundariya B</t>
        </is>
      </c>
      <c r="Q2022" t="inlineStr">
        <is>
          <t>Neutral</t>
        </is>
      </c>
    </row>
    <row r="2023">
      <c r="A2023" t="inlineStr">
        <is>
          <t>hitesh.k</t>
        </is>
      </c>
      <c r="B2023" t="inlineStr">
        <is>
          <t>Hitesh Kandpal</t>
        </is>
      </c>
      <c r="C2023" t="inlineStr">
        <is>
          <t>hitesh.k@osmosys.co</t>
        </is>
      </c>
      <c r="D2023" t="inlineStr">
        <is>
          <t>incident-reporter</t>
        </is>
      </c>
      <c r="E2023">
        <f>HYPERLINK("http://gitlab.osmosys.co/incident-reporter/incident-reporter-app", "OQSHA Mobile App")</f>
        <v/>
      </c>
      <c r="F2023">
        <f>HYPERLINK("http://gitlab.osmosys.co/incident-reporter/incident-reporter-app/-/merge_requests/1858", "fix: render standalone checks for library")</f>
        <v/>
      </c>
      <c r="G2023" t="inlineStr">
        <is>
          <t>fix/library-standalone-checks</t>
        </is>
      </c>
      <c r="H2023" t="inlineStr">
        <is>
          <t>sprint-19</t>
        </is>
      </c>
      <c r="I2023" t="inlineStr">
        <is>
          <t>merged</t>
        </is>
      </c>
      <c r="J2023" t="inlineStr">
        <is>
          <t>f41e2ad48035189043198bd0d33aed75a945f57e</t>
        </is>
      </c>
      <c r="K2023">
        <f>HYPERLINK("http://gitlab.osmosys.co/incident-reporter/incident-reporter-app/-/merge_requests/1858#note_246264", "this is how this asterik gets rendered for all dropdown, if you compare this with organisation or any other dropdown in app you will see it's same
for text field we have less spacing, this asterik doesn't come from html")</f>
        <v/>
      </c>
      <c r="L2023" t="inlineStr">
        <is>
          <t>2025-08-02 15:00:01.561 IST</t>
        </is>
      </c>
      <c r="M2023" t="inlineStr">
        <is>
          <t>Hitesh Kandpal</t>
        </is>
      </c>
      <c r="N2023" t="inlineStr">
        <is>
          <t>No</t>
        </is>
      </c>
      <c r="O2023" t="inlineStr">
        <is>
          <t>Yes</t>
        </is>
      </c>
      <c r="P2023" t="inlineStr">
        <is>
          <t>Soundariya B</t>
        </is>
      </c>
      <c r="Q2023" t="inlineStr">
        <is>
          <t>Neutral</t>
        </is>
      </c>
    </row>
    <row r="2024">
      <c r="A2024" t="inlineStr">
        <is>
          <t>hitesh.k</t>
        </is>
      </c>
      <c r="B2024" t="inlineStr">
        <is>
          <t>Hitesh Kandpal</t>
        </is>
      </c>
      <c r="C2024" t="inlineStr">
        <is>
          <t>hitesh.k@osmosys.co</t>
        </is>
      </c>
      <c r="D2024" t="inlineStr">
        <is>
          <t>incident-reporter</t>
        </is>
      </c>
      <c r="E2024">
        <f>HYPERLINK("http://gitlab.osmosys.co/incident-reporter/incident-reporter-app", "OQSHA Mobile App")</f>
        <v/>
      </c>
      <c r="F2024">
        <f>HYPERLINK("http://gitlab.osmosys.co/incident-reporter/incident-reporter-app/-/merge_requests/1858", "fix: render standalone checks for library")</f>
        <v/>
      </c>
      <c r="G2024" t="inlineStr">
        <is>
          <t>fix/library-standalone-checks</t>
        </is>
      </c>
      <c r="H2024" t="inlineStr">
        <is>
          <t>sprint-19</t>
        </is>
      </c>
      <c r="I2024" t="inlineStr">
        <is>
          <t>merged</t>
        </is>
      </c>
      <c r="J2024" t="inlineStr">
        <is>
          <t>3c926d622f5b1f88828d0c1bbe7ef37ebebdb21a</t>
        </is>
      </c>
      <c r="K2024">
        <f>HYPERLINK("http://gitlab.osmosys.co/incident-reporter/incident-reporter-app/-/merge_requests/1858#note_246247", "Get the check type from constant file")</f>
        <v/>
      </c>
      <c r="L2024" t="inlineStr">
        <is>
          <t>2025-08-02 14:05:35.626 IST</t>
        </is>
      </c>
      <c r="M2024" t="inlineStr">
        <is>
          <t>Soundariya B</t>
        </is>
      </c>
      <c r="N2024" t="inlineStr">
        <is>
          <t>Yes</t>
        </is>
      </c>
      <c r="O2024" t="inlineStr">
        <is>
          <t>Yes</t>
        </is>
      </c>
      <c r="P2024" t="inlineStr">
        <is>
          <t>Soundariya B</t>
        </is>
      </c>
      <c r="Q2024" t="inlineStr">
        <is>
          <t>Bad</t>
        </is>
      </c>
    </row>
    <row r="2025">
      <c r="A2025" t="inlineStr">
        <is>
          <t>hitesh.k</t>
        </is>
      </c>
      <c r="B2025" t="inlineStr">
        <is>
          <t>Hitesh Kandpal</t>
        </is>
      </c>
      <c r="C2025" t="inlineStr">
        <is>
          <t>hitesh.k@osmosys.co</t>
        </is>
      </c>
      <c r="D2025" t="inlineStr">
        <is>
          <t>incident-reporter</t>
        </is>
      </c>
      <c r="E2025">
        <f>HYPERLINK("http://gitlab.osmosys.co/incident-reporter/incident-reporter-app", "OQSHA Mobile App")</f>
        <v/>
      </c>
      <c r="F2025">
        <f>HYPERLINK("http://gitlab.osmosys.co/incident-reporter/incident-reporter-app/-/merge_requests/1858", "fix: render standalone checks for library")</f>
        <v/>
      </c>
      <c r="G2025" t="inlineStr">
        <is>
          <t>fix/library-standalone-checks</t>
        </is>
      </c>
      <c r="H2025" t="inlineStr">
        <is>
          <t>sprint-19</t>
        </is>
      </c>
      <c r="I2025" t="inlineStr">
        <is>
          <t>merged</t>
        </is>
      </c>
      <c r="J2025" t="inlineStr">
        <is>
          <t>3c926d622f5b1f88828d0c1bbe7ef37ebebdb21a</t>
        </is>
      </c>
      <c r="K2025">
        <f>HYPERLINK("http://gitlab.osmosys.co/incident-reporter/incident-reporter-app/-/merge_requests/1858#note_246270", "fixed it")</f>
        <v/>
      </c>
      <c r="L2025" t="inlineStr">
        <is>
          <t>2025-08-02 15:07:17.785 IST</t>
        </is>
      </c>
      <c r="M2025" t="inlineStr">
        <is>
          <t>Hitesh Kandpal</t>
        </is>
      </c>
      <c r="N2025" t="inlineStr">
        <is>
          <t>No</t>
        </is>
      </c>
      <c r="O2025" t="inlineStr">
        <is>
          <t>Yes</t>
        </is>
      </c>
      <c r="P2025" t="inlineStr">
        <is>
          <t>Soundariya B</t>
        </is>
      </c>
      <c r="Q2025" t="inlineStr">
        <is>
          <t>Bad</t>
        </is>
      </c>
    </row>
    <row r="2026">
      <c r="A2026" t="inlineStr">
        <is>
          <t>hitesh.k</t>
        </is>
      </c>
      <c r="B2026" t="inlineStr">
        <is>
          <t>Hitesh Kandpal</t>
        </is>
      </c>
      <c r="C2026" t="inlineStr">
        <is>
          <t>hitesh.k@osmosys.co</t>
        </is>
      </c>
      <c r="D2026" t="inlineStr">
        <is>
          <t>incident-reporter</t>
        </is>
      </c>
      <c r="E2026">
        <f>HYPERLINK("http://gitlab.osmosys.co/incident-reporter/incident-reporter-app", "OQSHA Mobile App")</f>
        <v/>
      </c>
      <c r="F2026">
        <f>HYPERLINK("http://gitlab.osmosys.co/incident-reporter/incident-reporter-app/-/merge_requests/1858", "fix: render standalone checks for library")</f>
        <v/>
      </c>
      <c r="G2026" t="inlineStr">
        <is>
          <t>fix/library-standalone-checks</t>
        </is>
      </c>
      <c r="H2026" t="inlineStr">
        <is>
          <t>sprint-19</t>
        </is>
      </c>
      <c r="I2026" t="inlineStr">
        <is>
          <t>merged</t>
        </is>
      </c>
      <c r="J2026" t="inlineStr">
        <is>
          <t>3dacb31ca2b9ff74844e708efe23cb4118008303</t>
        </is>
      </c>
      <c r="K2026">
        <f>HYPERLINK("http://gitlab.osmosys.co/incident-reporter/incident-reporter-app/-/merge_requests/1858#note_246248", "Is this necessary to use !important? if not then please avoid it")</f>
        <v/>
      </c>
      <c r="L2026" t="inlineStr">
        <is>
          <t>2025-08-02 14:05:35.731 IST</t>
        </is>
      </c>
      <c r="M2026" t="inlineStr">
        <is>
          <t>Soundariya B</t>
        </is>
      </c>
      <c r="N2026" t="inlineStr">
        <is>
          <t>Yes</t>
        </is>
      </c>
      <c r="O2026" t="inlineStr">
        <is>
          <t>Yes</t>
        </is>
      </c>
      <c r="P2026" t="inlineStr">
        <is>
          <t>Soundariya B</t>
        </is>
      </c>
      <c r="Q2026" t="inlineStr">
        <is>
          <t>Neutral</t>
        </is>
      </c>
    </row>
    <row r="2027">
      <c r="A2027" t="inlineStr">
        <is>
          <t>hitesh.k</t>
        </is>
      </c>
      <c r="B2027" t="inlineStr">
        <is>
          <t>Hitesh Kandpal</t>
        </is>
      </c>
      <c r="C2027" t="inlineStr">
        <is>
          <t>hitesh.k@osmosys.co</t>
        </is>
      </c>
      <c r="D2027" t="inlineStr">
        <is>
          <t>incident-reporter</t>
        </is>
      </c>
      <c r="E2027">
        <f>HYPERLINK("http://gitlab.osmosys.co/incident-reporter/incident-reporter-app", "OQSHA Mobile App")</f>
        <v/>
      </c>
      <c r="F2027">
        <f>HYPERLINK("http://gitlab.osmosys.co/incident-reporter/incident-reporter-app/-/merge_requests/1858", "fix: render standalone checks for library")</f>
        <v/>
      </c>
      <c r="G2027" t="inlineStr">
        <is>
          <t>fix/library-standalone-checks</t>
        </is>
      </c>
      <c r="H2027" t="inlineStr">
        <is>
          <t>sprint-19</t>
        </is>
      </c>
      <c r="I2027" t="inlineStr">
        <is>
          <t>merged</t>
        </is>
      </c>
      <c r="J2027" t="inlineStr">
        <is>
          <t>3dacb31ca2b9ff74844e708efe23cb4118008303</t>
        </is>
      </c>
      <c r="K2027">
        <f>HYPERLINK("http://gitlab.osmosys.co/incident-reporter/incident-reporter-app/-/merge_requests/1858#note_246266", "yes ion-label component have some default styling and we needed to override that, also this i have not added in this PR, i just refactored the code and removed the css which is not being used at all, that's why these changes are coming in my PR")</f>
        <v/>
      </c>
      <c r="L2027" t="inlineStr">
        <is>
          <t>2025-08-02 15:02:58.047 IST</t>
        </is>
      </c>
      <c r="M2027" t="inlineStr">
        <is>
          <t>Hitesh Kandpal</t>
        </is>
      </c>
      <c r="N2027" t="inlineStr">
        <is>
          <t>No</t>
        </is>
      </c>
      <c r="O2027" t="inlineStr">
        <is>
          <t>Yes</t>
        </is>
      </c>
      <c r="P2027" t="inlineStr">
        <is>
          <t>Soundariya B</t>
        </is>
      </c>
      <c r="Q2027" t="inlineStr">
        <is>
          <t>Neutral</t>
        </is>
      </c>
    </row>
    <row r="2028">
      <c r="A2028" t="inlineStr">
        <is>
          <t>hitesh.k</t>
        </is>
      </c>
      <c r="B2028" t="inlineStr">
        <is>
          <t>Hitesh Kandpal</t>
        </is>
      </c>
      <c r="C2028" t="inlineStr">
        <is>
          <t>hitesh.k@osmosys.co</t>
        </is>
      </c>
      <c r="D2028" t="inlineStr">
        <is>
          <t>incident-reporter</t>
        </is>
      </c>
      <c r="E2028">
        <f>HYPERLINK("http://gitlab.osmosys.co/incident-reporter/incident-reporter-app", "OQSHA Mobile App")</f>
        <v/>
      </c>
      <c r="F2028">
        <f>HYPERLINK("http://gitlab.osmosys.co/incident-reporter/incident-reporter-app/-/merge_requests/1856", "fix: render standalone checks for MOC")</f>
        <v/>
      </c>
      <c r="G2028" t="inlineStr">
        <is>
          <t>fix/moc-standalone-checks</t>
        </is>
      </c>
      <c r="H2028" t="inlineStr">
        <is>
          <t>sprint-19</t>
        </is>
      </c>
      <c r="I2028" t="inlineStr">
        <is>
          <t>merged</t>
        </is>
      </c>
      <c r="J2028" t="inlineStr">
        <is>
          <t>c4e5de3ab52007a49181d034330f31d7f2b3f5fd</t>
        </is>
      </c>
      <c r="K2028">
        <f>HYPERLINK("http://gitlab.osmosys.co/incident-reporter/incident-reporter-app/-/merge_requests/1856#note_245798", "It should be txt-no-margin -- Fix it everywhere")</f>
        <v/>
      </c>
      <c r="L2028" t="inlineStr">
        <is>
          <t>2025-08-01 19:33:30.274 IST</t>
        </is>
      </c>
      <c r="M2028" t="inlineStr">
        <is>
          <t>Soundariya B</t>
        </is>
      </c>
      <c r="N2028" t="inlineStr">
        <is>
          <t>Yes</t>
        </is>
      </c>
      <c r="O2028" t="inlineStr">
        <is>
          <t>Yes</t>
        </is>
      </c>
      <c r="P2028" t="inlineStr">
        <is>
          <t>Soundariya B</t>
        </is>
      </c>
      <c r="Q2028" t="inlineStr">
        <is>
          <t>Neutral</t>
        </is>
      </c>
    </row>
    <row r="2029">
      <c r="A2029" t="inlineStr">
        <is>
          <t>hitesh.k</t>
        </is>
      </c>
      <c r="B2029" t="inlineStr">
        <is>
          <t>Hitesh Kandpal</t>
        </is>
      </c>
      <c r="C2029" t="inlineStr">
        <is>
          <t>hitesh.k@osmosys.co</t>
        </is>
      </c>
      <c r="D2029" t="inlineStr">
        <is>
          <t>incident-reporter</t>
        </is>
      </c>
      <c r="E2029">
        <f>HYPERLINK("http://gitlab.osmosys.co/incident-reporter/incident-reporter-app", "OQSHA Mobile App")</f>
        <v/>
      </c>
      <c r="F2029">
        <f>HYPERLINK("http://gitlab.osmosys.co/incident-reporter/incident-reporter-app/-/merge_requests/1856", "fix: render standalone checks for MOC")</f>
        <v/>
      </c>
      <c r="G2029" t="inlineStr">
        <is>
          <t>fix/moc-standalone-checks</t>
        </is>
      </c>
      <c r="H2029" t="inlineStr">
        <is>
          <t>sprint-19</t>
        </is>
      </c>
      <c r="I2029" t="inlineStr">
        <is>
          <t>merged</t>
        </is>
      </c>
      <c r="J2029" t="inlineStr">
        <is>
          <t>c4e5de3ab52007a49181d034330f31d7f2b3f5fd</t>
        </is>
      </c>
      <c r="K2029">
        <f>HYPERLINK("http://gitlab.osmosys.co/incident-reporter/incident-reporter-app/-/merge_requests/1856#note_245893", "why it should be like this? this margin class can be used anywhere in the code where we want to overide default margin")</f>
        <v/>
      </c>
      <c r="L2029" t="inlineStr">
        <is>
          <t>2025-08-01 23:34:39.991 IST</t>
        </is>
      </c>
      <c r="M2029" t="inlineStr">
        <is>
          <t>Hitesh Kandpal</t>
        </is>
      </c>
      <c r="N2029" t="inlineStr">
        <is>
          <t>No</t>
        </is>
      </c>
      <c r="O2029" t="inlineStr">
        <is>
          <t>Yes</t>
        </is>
      </c>
      <c r="P2029" t="inlineStr">
        <is>
          <t>Soundariya B</t>
        </is>
      </c>
      <c r="Q2029" t="inlineStr">
        <is>
          <t>Neutral</t>
        </is>
      </c>
    </row>
    <row r="2030">
      <c r="A2030" t="inlineStr">
        <is>
          <t>hitesh.k</t>
        </is>
      </c>
      <c r="B2030" t="inlineStr">
        <is>
          <t>Hitesh Kandpal</t>
        </is>
      </c>
      <c r="C2030" t="inlineStr">
        <is>
          <t>hitesh.k@osmosys.co</t>
        </is>
      </c>
      <c r="D2030" t="inlineStr">
        <is>
          <t>incident-reporter</t>
        </is>
      </c>
      <c r="E2030">
        <f>HYPERLINK("http://gitlab.osmosys.co/incident-reporter/incident-reporter-app", "OQSHA Mobile App")</f>
        <v/>
      </c>
      <c r="F2030">
        <f>HYPERLINK("http://gitlab.osmosys.co/incident-reporter/incident-reporter-app/-/merge_requests/1856", "fix: render standalone checks for MOC")</f>
        <v/>
      </c>
      <c r="G2030" t="inlineStr">
        <is>
          <t>fix/moc-standalone-checks</t>
        </is>
      </c>
      <c r="H2030" t="inlineStr">
        <is>
          <t>sprint-19</t>
        </is>
      </c>
      <c r="I2030" t="inlineStr">
        <is>
          <t>merged</t>
        </is>
      </c>
      <c r="J2030" t="inlineStr">
        <is>
          <t>cb2b35da2eee521712721943f911add6bf5e6eeb</t>
        </is>
      </c>
      <c r="K2030">
        <f>HYPERLINK("http://gitlab.osmosys.co/incident-reporter/incident-reporter-app/-/merge_requests/1856#note_245799", "Get the check type from constant file")</f>
        <v/>
      </c>
      <c r="L2030" t="inlineStr">
        <is>
          <t>2025-08-01 19:33:30.335 IST</t>
        </is>
      </c>
      <c r="M2030" t="inlineStr">
        <is>
          <t>Soundariya B</t>
        </is>
      </c>
      <c r="N2030" t="inlineStr">
        <is>
          <t>Yes</t>
        </is>
      </c>
      <c r="O2030" t="inlineStr">
        <is>
          <t>Yes</t>
        </is>
      </c>
      <c r="P2030" t="inlineStr">
        <is>
          <t>Soundariya B</t>
        </is>
      </c>
      <c r="Q2030" t="inlineStr">
        <is>
          <t>Bad</t>
        </is>
      </c>
    </row>
    <row r="2031">
      <c r="A2031" t="inlineStr">
        <is>
          <t>hitesh.k</t>
        </is>
      </c>
      <c r="B2031" t="inlineStr">
        <is>
          <t>Hitesh Kandpal</t>
        </is>
      </c>
      <c r="C2031" t="inlineStr">
        <is>
          <t>hitesh.k@osmosys.co</t>
        </is>
      </c>
      <c r="D2031" t="inlineStr">
        <is>
          <t>incident-reporter</t>
        </is>
      </c>
      <c r="E2031">
        <f>HYPERLINK("http://gitlab.osmosys.co/incident-reporter/incident-reporter-app", "OQSHA Mobile App")</f>
        <v/>
      </c>
      <c r="F2031">
        <f>HYPERLINK("http://gitlab.osmosys.co/incident-reporter/incident-reporter-app/-/merge_requests/1856", "fix: render standalone checks for MOC")</f>
        <v/>
      </c>
      <c r="G2031" t="inlineStr">
        <is>
          <t>fix/moc-standalone-checks</t>
        </is>
      </c>
      <c r="H2031" t="inlineStr">
        <is>
          <t>sprint-19</t>
        </is>
      </c>
      <c r="I2031" t="inlineStr">
        <is>
          <t>merged</t>
        </is>
      </c>
      <c r="J2031" t="inlineStr">
        <is>
          <t>cb2b35da2eee521712721943f911add6bf5e6eeb</t>
        </is>
      </c>
      <c r="K2031">
        <f>HYPERLINK("http://gitlab.osmosys.co/incident-reporter/incident-reporter-app/-/merge_requests/1856#note_246019", "done")</f>
        <v/>
      </c>
      <c r="L2031" t="inlineStr">
        <is>
          <t>2025-08-02 10:31:07.252 IST</t>
        </is>
      </c>
      <c r="M2031" t="inlineStr">
        <is>
          <t>Hitesh Kandpal</t>
        </is>
      </c>
      <c r="N2031" t="inlineStr">
        <is>
          <t>No</t>
        </is>
      </c>
      <c r="O2031" t="inlineStr">
        <is>
          <t>Yes</t>
        </is>
      </c>
      <c r="P2031" t="inlineStr">
        <is>
          <t>Soundariya B</t>
        </is>
      </c>
      <c r="Q2031" t="inlineStr">
        <is>
          <t>Bad</t>
        </is>
      </c>
    </row>
    <row r="2032">
      <c r="A2032" t="inlineStr">
        <is>
          <t>hitesh.k</t>
        </is>
      </c>
      <c r="B2032" t="inlineStr">
        <is>
          <t>Hitesh Kandpal</t>
        </is>
      </c>
      <c r="C2032" t="inlineStr">
        <is>
          <t>hitesh.k@osmosys.co</t>
        </is>
      </c>
      <c r="D2032" t="inlineStr">
        <is>
          <t>incident-reporter</t>
        </is>
      </c>
      <c r="E2032">
        <f>HYPERLINK("http://gitlab.osmosys.co/incident-reporter/incident-reporter-app", "OQSHA Mobile App")</f>
        <v/>
      </c>
      <c r="F2032">
        <f>HYPERLINK("http://gitlab.osmosys.co/incident-reporter/incident-reporter-app/-/merge_requests/1856", "fix: render standalone checks for MOC")</f>
        <v/>
      </c>
      <c r="G2032" t="inlineStr">
        <is>
          <t>fix/moc-standalone-checks</t>
        </is>
      </c>
      <c r="H2032" t="inlineStr">
        <is>
          <t>sprint-19</t>
        </is>
      </c>
      <c r="I2032" t="inlineStr">
        <is>
          <t>merged</t>
        </is>
      </c>
      <c r="J2032" t="inlineStr">
        <is>
          <t>d27b0379c1deb33e43a5a385421ee11d89d66021</t>
        </is>
      </c>
      <c r="K2032">
        <f>HYPERLINK("http://gitlab.osmosys.co/incident-reporter/incident-reporter-app/-/merge_requests/1856#note_245800", "`check.IsMandatory === '1' || check.IsMandatory === 1` Its using more than 1 places so can you get from ts file like saying checkMadatoryField()")</f>
        <v/>
      </c>
      <c r="L2032" t="inlineStr">
        <is>
          <t>2025-08-01 19:33:30.392 IST</t>
        </is>
      </c>
      <c r="M2032" t="inlineStr">
        <is>
          <t>Soundariya B</t>
        </is>
      </c>
      <c r="N2032" t="inlineStr">
        <is>
          <t>Yes</t>
        </is>
      </c>
      <c r="O2032" t="inlineStr">
        <is>
          <t>Yes</t>
        </is>
      </c>
      <c r="P2032" t="inlineStr">
        <is>
          <t>Soundariya B</t>
        </is>
      </c>
      <c r="Q2032" t="inlineStr">
        <is>
          <t>Neutral</t>
        </is>
      </c>
    </row>
    <row r="2033">
      <c r="A2033" t="inlineStr">
        <is>
          <t>hitesh.k</t>
        </is>
      </c>
      <c r="B2033" t="inlineStr">
        <is>
          <t>Hitesh Kandpal</t>
        </is>
      </c>
      <c r="C2033" t="inlineStr">
        <is>
          <t>hitesh.k@osmosys.co</t>
        </is>
      </c>
      <c r="D2033" t="inlineStr">
        <is>
          <t>incident-reporter</t>
        </is>
      </c>
      <c r="E2033">
        <f>HYPERLINK("http://gitlab.osmosys.co/incident-reporter/incident-reporter-app", "OQSHA Mobile App")</f>
        <v/>
      </c>
      <c r="F2033">
        <f>HYPERLINK("http://gitlab.osmosys.co/incident-reporter/incident-reporter-app/-/merge_requests/1856", "fix: render standalone checks for MOC")</f>
        <v/>
      </c>
      <c r="G2033" t="inlineStr">
        <is>
          <t>fix/moc-standalone-checks</t>
        </is>
      </c>
      <c r="H2033" t="inlineStr">
        <is>
          <t>sprint-19</t>
        </is>
      </c>
      <c r="I2033" t="inlineStr">
        <is>
          <t>merged</t>
        </is>
      </c>
      <c r="J2033" t="inlineStr">
        <is>
          <t>d27b0379c1deb33e43a5a385421ee11d89d66021</t>
        </is>
      </c>
      <c r="K2033">
        <f>HYPERLINK("http://gitlab.osmosys.co/incident-reporter/incident-reporter-app/-/merge_requests/1856#note_246021", "if I follow the approach, our whole page will get stuck because the ngClass is inside an *ngFor. When you bind ngclass to a function, that function gets called on every change detection cycle, which would freeze the page. With the current approach it doesn’t have to re-execute external code and it doesn’t trigger re-rendering issues.
For dynamic checks this approach can't happen since we can't create separate variable for each check.")</f>
        <v/>
      </c>
      <c r="L2033" t="inlineStr">
        <is>
          <t>2025-08-02 10:33:47.184 IST</t>
        </is>
      </c>
      <c r="M2033" t="inlineStr">
        <is>
          <t>Hitesh Kandpal</t>
        </is>
      </c>
      <c r="N2033" t="inlineStr">
        <is>
          <t>No</t>
        </is>
      </c>
      <c r="O2033" t="inlineStr">
        <is>
          <t>Yes</t>
        </is>
      </c>
      <c r="P2033" t="inlineStr">
        <is>
          <t>Soundariya B</t>
        </is>
      </c>
      <c r="Q2033" t="inlineStr">
        <is>
          <t>Neutral</t>
        </is>
      </c>
    </row>
    <row r="2034">
      <c r="A2034" t="inlineStr">
        <is>
          <t>hitesh.k</t>
        </is>
      </c>
      <c r="B2034" t="inlineStr">
        <is>
          <t>Hitesh Kandpal</t>
        </is>
      </c>
      <c r="C2034" t="inlineStr">
        <is>
          <t>hitesh.k@osmosys.co</t>
        </is>
      </c>
      <c r="D2034" t="inlineStr">
        <is>
          <t>incident-reporter</t>
        </is>
      </c>
      <c r="E2034">
        <f>HYPERLINK("http://gitlab.osmosys.co/incident-reporter/incident-reporter-app", "OQSHA Mobile App")</f>
        <v/>
      </c>
      <c r="F2034">
        <f>HYPERLINK("http://gitlab.osmosys.co/incident-reporter/incident-reporter-app/-/merge_requests/1856", "fix: render standalone checks for MOC")</f>
        <v/>
      </c>
      <c r="G2034" t="inlineStr">
        <is>
          <t>fix/moc-standalone-checks</t>
        </is>
      </c>
      <c r="H2034" t="inlineStr">
        <is>
          <t>sprint-19</t>
        </is>
      </c>
      <c r="I2034" t="inlineStr">
        <is>
          <t>merged</t>
        </is>
      </c>
      <c r="J2034" t="inlineStr">
        <is>
          <t>df6373a1cbe5151ff9c5fd634ae22d465a84e9bc</t>
        </is>
      </c>
      <c r="K2034">
        <f>HYPERLINK("http://gitlab.osmosys.co/incident-reporter/incident-reporter-app/-/merge_requests/1856#note_245801", "In html, just take $event and other fetching data by dot literal can be done in ts as its already been using in ts file -- If anywhere then please fix it everywhere")</f>
        <v/>
      </c>
      <c r="L2034" t="inlineStr">
        <is>
          <t>2025-08-01 19:33:30.446 IST</t>
        </is>
      </c>
      <c r="M2034" t="inlineStr">
        <is>
          <t>Soundariya B</t>
        </is>
      </c>
      <c r="N2034" t="inlineStr">
        <is>
          <t>Yes</t>
        </is>
      </c>
      <c r="O2034" t="inlineStr">
        <is>
          <t>Yes</t>
        </is>
      </c>
      <c r="P2034" t="inlineStr">
        <is>
          <t>Soundariya B</t>
        </is>
      </c>
      <c r="Q2034" t="inlineStr">
        <is>
          <t>Bad</t>
        </is>
      </c>
    </row>
    <row r="2035">
      <c r="A2035" t="inlineStr">
        <is>
          <t>hitesh.k</t>
        </is>
      </c>
      <c r="B2035" t="inlineStr">
        <is>
          <t>Hitesh Kandpal</t>
        </is>
      </c>
      <c r="C2035" t="inlineStr">
        <is>
          <t>hitesh.k@osmosys.co</t>
        </is>
      </c>
      <c r="D2035" t="inlineStr">
        <is>
          <t>incident-reporter</t>
        </is>
      </c>
      <c r="E2035">
        <f>HYPERLINK("http://gitlab.osmosys.co/incident-reporter/incident-reporter-app", "OQSHA Mobile App")</f>
        <v/>
      </c>
      <c r="F2035">
        <f>HYPERLINK("http://gitlab.osmosys.co/incident-reporter/incident-reporter-app/-/merge_requests/1856", "fix: render standalone checks for MOC")</f>
        <v/>
      </c>
      <c r="G2035" t="inlineStr">
        <is>
          <t>fix/moc-standalone-checks</t>
        </is>
      </c>
      <c r="H2035" t="inlineStr">
        <is>
          <t>sprint-19</t>
        </is>
      </c>
      <c r="I2035" t="inlineStr">
        <is>
          <t>merged</t>
        </is>
      </c>
      <c r="J2035" t="inlineStr">
        <is>
          <t>df6373a1cbe5151ff9c5fd634ae22d465a84e9bc</t>
        </is>
      </c>
      <c r="K2035">
        <f>HYPERLINK("http://gitlab.osmosys.co/incident-reporter/incident-reporter-app/-/merge_requests/1856#note_246022", "fixed this")</f>
        <v/>
      </c>
      <c r="L2035" t="inlineStr">
        <is>
          <t>2025-08-02 10:35:31.648 IST</t>
        </is>
      </c>
      <c r="M2035" t="inlineStr">
        <is>
          <t>Hitesh Kandpal</t>
        </is>
      </c>
      <c r="N2035" t="inlineStr">
        <is>
          <t>No</t>
        </is>
      </c>
      <c r="O2035" t="inlineStr">
        <is>
          <t>Yes</t>
        </is>
      </c>
      <c r="P2035" t="inlineStr">
        <is>
          <t>Soundariya B</t>
        </is>
      </c>
      <c r="Q2035" t="inlineStr">
        <is>
          <t>Bad</t>
        </is>
      </c>
    </row>
    <row r="2036">
      <c r="A2036" t="inlineStr">
        <is>
          <t>hitesh.k</t>
        </is>
      </c>
      <c r="B2036" t="inlineStr">
        <is>
          <t>Hitesh Kandpal</t>
        </is>
      </c>
      <c r="C2036" t="inlineStr">
        <is>
          <t>hitesh.k@osmosys.co</t>
        </is>
      </c>
      <c r="D2036" t="inlineStr">
        <is>
          <t>incident-reporter</t>
        </is>
      </c>
      <c r="E2036">
        <f>HYPERLINK("http://gitlab.osmosys.co/incident-reporter/incident-reporter-app", "OQSHA Mobile App")</f>
        <v/>
      </c>
      <c r="F2036">
        <f>HYPERLINK("http://gitlab.osmosys.co/incident-reporter/incident-reporter-app/-/merge_requests/1856", "fix: render standalone checks for MOC")</f>
        <v/>
      </c>
      <c r="G2036" t="inlineStr">
        <is>
          <t>fix/moc-standalone-checks</t>
        </is>
      </c>
      <c r="H2036" t="inlineStr">
        <is>
          <t>sprint-19</t>
        </is>
      </c>
      <c r="I2036" t="inlineStr">
        <is>
          <t>merged</t>
        </is>
      </c>
      <c r="J2036" t="inlineStr">
        <is>
          <t>4e058e24c5419587c263dcf4d7d17ad9a9356799</t>
        </is>
      </c>
      <c r="K2036">
        <f>HYPERLINK("http://gitlab.osmosys.co/incident-reporter/incident-reporter-app/-/merge_requests/1856#note_245802", "Rename it - onRadioOptionChange")</f>
        <v/>
      </c>
      <c r="L2036" t="inlineStr">
        <is>
          <t>2025-08-01 19:33:30.500 IST</t>
        </is>
      </c>
      <c r="M2036" t="inlineStr">
        <is>
          <t>Soundariya B</t>
        </is>
      </c>
      <c r="N2036" t="inlineStr">
        <is>
          <t>Yes</t>
        </is>
      </c>
      <c r="O2036" t="inlineStr">
        <is>
          <t>Yes</t>
        </is>
      </c>
      <c r="P2036" t="inlineStr">
        <is>
          <t>Soundariya B</t>
        </is>
      </c>
      <c r="Q2036" t="inlineStr">
        <is>
          <t>Bad</t>
        </is>
      </c>
    </row>
    <row r="2037">
      <c r="A2037" t="inlineStr">
        <is>
          <t>hitesh.k</t>
        </is>
      </c>
      <c r="B2037" t="inlineStr">
        <is>
          <t>Hitesh Kandpal</t>
        </is>
      </c>
      <c r="C2037" t="inlineStr">
        <is>
          <t>hitesh.k@osmosys.co</t>
        </is>
      </c>
      <c r="D2037" t="inlineStr">
        <is>
          <t>incident-reporter</t>
        </is>
      </c>
      <c r="E2037">
        <f>HYPERLINK("http://gitlab.osmosys.co/incident-reporter/incident-reporter-app", "OQSHA Mobile App")</f>
        <v/>
      </c>
      <c r="F2037">
        <f>HYPERLINK("http://gitlab.osmosys.co/incident-reporter/incident-reporter-app/-/merge_requests/1856", "fix: render standalone checks for MOC")</f>
        <v/>
      </c>
      <c r="G2037" t="inlineStr">
        <is>
          <t>fix/moc-standalone-checks</t>
        </is>
      </c>
      <c r="H2037" t="inlineStr">
        <is>
          <t>sprint-19</t>
        </is>
      </c>
      <c r="I2037" t="inlineStr">
        <is>
          <t>merged</t>
        </is>
      </c>
      <c r="J2037" t="inlineStr">
        <is>
          <t>4e058e24c5419587c263dcf4d7d17ad9a9356799</t>
        </is>
      </c>
      <c r="K2037">
        <f>HYPERLINK("http://gitlab.osmosys.co/incident-reporter/incident-reporter-app/-/merge_requests/1856#note_246025", "done")</f>
        <v/>
      </c>
      <c r="L2037" t="inlineStr">
        <is>
          <t>2025-08-02 10:37:29.430 IST</t>
        </is>
      </c>
      <c r="M2037" t="inlineStr">
        <is>
          <t>Hitesh Kandpal</t>
        </is>
      </c>
      <c r="N2037" t="inlineStr">
        <is>
          <t>No</t>
        </is>
      </c>
      <c r="O2037" t="inlineStr">
        <is>
          <t>Yes</t>
        </is>
      </c>
      <c r="P2037" t="inlineStr">
        <is>
          <t>Soundariya B</t>
        </is>
      </c>
      <c r="Q2037" t="inlineStr">
        <is>
          <t>Bad</t>
        </is>
      </c>
    </row>
    <row r="2038">
      <c r="A2038" t="inlineStr">
        <is>
          <t>hitesh.k</t>
        </is>
      </c>
      <c r="B2038" t="inlineStr">
        <is>
          <t>Hitesh Kandpal</t>
        </is>
      </c>
      <c r="C2038" t="inlineStr">
        <is>
          <t>hitesh.k@osmosys.co</t>
        </is>
      </c>
      <c r="D2038" t="inlineStr">
        <is>
          <t>incident-reporter</t>
        </is>
      </c>
      <c r="E2038">
        <f>HYPERLINK("http://gitlab.osmosys.co/incident-reporter/incident-reporter-app", "OQSHA Mobile App")</f>
        <v/>
      </c>
      <c r="F2038">
        <f>HYPERLINK("http://gitlab.osmosys.co/incident-reporter/incident-reporter-app/-/merge_requests/1856", "fix: render standalone checks for MOC")</f>
        <v/>
      </c>
      <c r="G2038" t="inlineStr">
        <is>
          <t>fix/moc-standalone-checks</t>
        </is>
      </c>
      <c r="H2038" t="inlineStr">
        <is>
          <t>sprint-19</t>
        </is>
      </c>
      <c r="I2038" t="inlineStr">
        <is>
          <t>merged</t>
        </is>
      </c>
      <c r="J2038" t="inlineStr">
        <is>
          <t>9b2e27c9b2f097af2728ce51b109ab15bcbc5c20</t>
        </is>
      </c>
      <c r="K2038">
        <f>HYPERLINK("http://gitlab.osmosys.co/incident-reporter/incident-reporter-app/-/merge_requests/1856#note_245803", "Avoid to use !important")</f>
        <v/>
      </c>
      <c r="L2038" t="inlineStr">
        <is>
          <t>2025-08-01 19:33:30.568 IST</t>
        </is>
      </c>
      <c r="M2038" t="inlineStr">
        <is>
          <t>Soundariya B</t>
        </is>
      </c>
      <c r="N2038" t="inlineStr">
        <is>
          <t>Yes</t>
        </is>
      </c>
      <c r="O2038" t="inlineStr">
        <is>
          <t>Yes</t>
        </is>
      </c>
      <c r="P2038" t="inlineStr">
        <is>
          <t>Soundariya B</t>
        </is>
      </c>
      <c r="Q2038" t="inlineStr">
        <is>
          <t>Neutral</t>
        </is>
      </c>
    </row>
    <row r="2039">
      <c r="A2039" t="inlineStr">
        <is>
          <t>hitesh.k</t>
        </is>
      </c>
      <c r="B2039" t="inlineStr">
        <is>
          <t>Hitesh Kandpal</t>
        </is>
      </c>
      <c r="C2039" t="inlineStr">
        <is>
          <t>hitesh.k@osmosys.co</t>
        </is>
      </c>
      <c r="D2039" t="inlineStr">
        <is>
          <t>incident-reporter</t>
        </is>
      </c>
      <c r="E2039">
        <f>HYPERLINK("http://gitlab.osmosys.co/incident-reporter/incident-reporter-app", "OQSHA Mobile App")</f>
        <v/>
      </c>
      <c r="F2039">
        <f>HYPERLINK("http://gitlab.osmosys.co/incident-reporter/incident-reporter-app/-/merge_requests/1856", "fix: render standalone checks for MOC")</f>
        <v/>
      </c>
      <c r="G2039" t="inlineStr">
        <is>
          <t>fix/moc-standalone-checks</t>
        </is>
      </c>
      <c r="H2039" t="inlineStr">
        <is>
          <t>sprint-19</t>
        </is>
      </c>
      <c r="I2039" t="inlineStr">
        <is>
          <t>merged</t>
        </is>
      </c>
      <c r="J2039" t="inlineStr">
        <is>
          <t>9b2e27c9b2f097af2728ce51b109ab15bcbc5c20</t>
        </is>
      </c>
      <c r="K2039">
        <f>HYPERLINK("http://gitlab.osmosys.co/incident-reporter/incident-reporter-app/-/merge_requests/1856#note_245894", "can't avoid, it's being used to overide default padding of ionic component")</f>
        <v/>
      </c>
      <c r="L2039" t="inlineStr">
        <is>
          <t>2025-08-01 23:36:04.151 IST</t>
        </is>
      </c>
      <c r="M2039" t="inlineStr">
        <is>
          <t>Hitesh Kandpal</t>
        </is>
      </c>
      <c r="N2039" t="inlineStr">
        <is>
          <t>No</t>
        </is>
      </c>
      <c r="O2039" t="inlineStr">
        <is>
          <t>Yes</t>
        </is>
      </c>
      <c r="P2039" t="inlineStr">
        <is>
          <t>Soundariya B</t>
        </is>
      </c>
      <c r="Q2039" t="inlineStr">
        <is>
          <t>Neutral</t>
        </is>
      </c>
    </row>
    <row r="2040">
      <c r="A2040" t="inlineStr">
        <is>
          <t>hitesh.k</t>
        </is>
      </c>
      <c r="B2040" t="inlineStr">
        <is>
          <t>Hitesh Kandpal</t>
        </is>
      </c>
      <c r="C2040" t="inlineStr">
        <is>
          <t>hitesh.k@osmosys.co</t>
        </is>
      </c>
      <c r="D2040" t="inlineStr">
        <is>
          <t>incident-reporter</t>
        </is>
      </c>
      <c r="E2040">
        <f>HYPERLINK("http://gitlab.osmosys.co/incident-reporter/incident-reporter-app", "OQSHA Mobile App")</f>
        <v/>
      </c>
      <c r="F2040">
        <f>HYPERLINK("http://gitlab.osmosys.co/incident-reporter/incident-reporter-app/-/merge_requests/1856", "fix: render standalone checks for MOC")</f>
        <v/>
      </c>
      <c r="G2040" t="inlineStr">
        <is>
          <t>fix/moc-standalone-checks</t>
        </is>
      </c>
      <c r="H2040" t="inlineStr">
        <is>
          <t>sprint-19</t>
        </is>
      </c>
      <c r="I2040" t="inlineStr">
        <is>
          <t>merged</t>
        </is>
      </c>
      <c r="J2040" t="inlineStr">
        <is>
          <t>b61b3d26b46231dc89b041e0e27658338065e282</t>
        </is>
      </c>
      <c r="K2040">
        <f>HYPERLINK("http://gitlab.osmosys.co/incident-reporter/incident-reporter-app/-/merge_requests/1856#note_245804", "Declare the data type")</f>
        <v/>
      </c>
      <c r="L2040" t="inlineStr">
        <is>
          <t>2025-08-01 19:33:30.650 IST</t>
        </is>
      </c>
      <c r="M2040" t="inlineStr">
        <is>
          <t>Soundariya B</t>
        </is>
      </c>
      <c r="N2040" t="inlineStr">
        <is>
          <t>Yes</t>
        </is>
      </c>
      <c r="O2040" t="inlineStr">
        <is>
          <t>Yes</t>
        </is>
      </c>
      <c r="P2040" t="inlineStr">
        <is>
          <t>Soundariya B</t>
        </is>
      </c>
      <c r="Q2040" t="inlineStr">
        <is>
          <t>Bad</t>
        </is>
      </c>
    </row>
    <row r="2041">
      <c r="A2041" t="inlineStr">
        <is>
          <t>hitesh.k</t>
        </is>
      </c>
      <c r="B2041" t="inlineStr">
        <is>
          <t>Hitesh Kandpal</t>
        </is>
      </c>
      <c r="C2041" t="inlineStr">
        <is>
          <t>hitesh.k@osmosys.co</t>
        </is>
      </c>
      <c r="D2041" t="inlineStr">
        <is>
          <t>incident-reporter</t>
        </is>
      </c>
      <c r="E2041">
        <f>HYPERLINK("http://gitlab.osmosys.co/incident-reporter/incident-reporter-app", "OQSHA Mobile App")</f>
        <v/>
      </c>
      <c r="F2041">
        <f>HYPERLINK("http://gitlab.osmosys.co/incident-reporter/incident-reporter-app/-/merge_requests/1856", "fix: render standalone checks for MOC")</f>
        <v/>
      </c>
      <c r="G2041" t="inlineStr">
        <is>
          <t>fix/moc-standalone-checks</t>
        </is>
      </c>
      <c r="H2041" t="inlineStr">
        <is>
          <t>sprint-19</t>
        </is>
      </c>
      <c r="I2041" t="inlineStr">
        <is>
          <t>merged</t>
        </is>
      </c>
      <c r="J2041" t="inlineStr">
        <is>
          <t>b61b3d26b46231dc89b041e0e27658338065e282</t>
        </is>
      </c>
      <c r="K2041">
        <f>HYPERLINK("http://gitlab.osmosys.co/incident-reporter/incident-reporter-app/-/merge_requests/1856#note_246035", "done")</f>
        <v/>
      </c>
      <c r="L2041" t="inlineStr">
        <is>
          <t>2025-08-02 10:41:41.233 IST</t>
        </is>
      </c>
      <c r="M2041" t="inlineStr">
        <is>
          <t>Hitesh Kandpal</t>
        </is>
      </c>
      <c r="N2041" t="inlineStr">
        <is>
          <t>No</t>
        </is>
      </c>
      <c r="O2041" t="inlineStr">
        <is>
          <t>Yes</t>
        </is>
      </c>
      <c r="P2041" t="inlineStr">
        <is>
          <t>Soundariya B</t>
        </is>
      </c>
      <c r="Q2041" t="inlineStr">
        <is>
          <t>Bad</t>
        </is>
      </c>
    </row>
    <row r="2042">
      <c r="A2042" t="inlineStr">
        <is>
          <t>hitesh.k</t>
        </is>
      </c>
      <c r="B2042" t="inlineStr">
        <is>
          <t>Hitesh Kandpal</t>
        </is>
      </c>
      <c r="C2042" t="inlineStr">
        <is>
          <t>hitesh.k@osmosys.co</t>
        </is>
      </c>
      <c r="D2042" t="inlineStr">
        <is>
          <t>incident-reporter</t>
        </is>
      </c>
      <c r="E2042">
        <f>HYPERLINK("http://gitlab.osmosys.co/incident-reporter/incident-reporter-app", "OQSHA Mobile App")</f>
        <v/>
      </c>
      <c r="F2042">
        <f>HYPERLINK("http://gitlab.osmosys.co/incident-reporter/incident-reporter-app/-/merge_requests/1856", "fix: render standalone checks for MOC")</f>
        <v/>
      </c>
      <c r="G2042" t="inlineStr">
        <is>
          <t>fix/moc-standalone-checks</t>
        </is>
      </c>
      <c r="H2042" t="inlineStr">
        <is>
          <t>sprint-19</t>
        </is>
      </c>
      <c r="I2042" t="inlineStr">
        <is>
          <t>merged</t>
        </is>
      </c>
      <c r="J2042" t="inlineStr">
        <is>
          <t>e3f3a834c5137bebc95bacc5829a468e4b4cc4a6</t>
        </is>
      </c>
      <c r="K2042">
        <f>HYPERLINK("http://gitlab.osmosys.co/incident-reporter/incident-reporter-app/-/merge_requests/1856#note_245805", "Avoid to use multiple if's and nested if's and improve code readability
With this code later we can add many more initial value cases and validator checks
```
const allSections = this.mocSections;
this.standaloneSection = allSections.find(section =&gt; section.SectionId === 0);
this.mocSections = allSections.filter(section =&gt; section.SectionId !== 0);
if (this.standaloneSection) {
  this.standaloneSection.Checks.forEach(check =&gt; {
    const initialValue = this.getInitialValueForCheck(check.Type);
    const validators = this.getValidatorsForCheck(check);
    this.mocDetailForm.addControl(
      check.Check,
      this.formBuilder.control(initialValue, validators)
    );
  });
}
private getInitialValueForCheck(type: string): string | number {
  switch (type) {
    case constants.checkTypes.CHECKBOX:
      return 0;
    case constants.checkTypes.DATE:
      return moment().format('YYYY-MM-DD');
    case constants.checkTypes.TIME:
      return moment().format('HH:mm');
    case constants.checkTypes.DATE_TIME:
      return moment().format('YYYY-MM-DDTHH:mm:ss');
    default:
      return '';
  }
}
private getValidatorsForCheck(check: any): ValidatorFn[] {
  return check.IsMandatory === 1 || check.IsMandatory === '1'
    ? [Validators.required]
    : [];
}
```")</f>
        <v/>
      </c>
      <c r="L2042" t="inlineStr">
        <is>
          <t>2025-08-01 19:33:30.704 IST</t>
        </is>
      </c>
      <c r="M2042" t="inlineStr">
        <is>
          <t>Soundariya B</t>
        </is>
      </c>
      <c r="N2042" t="inlineStr">
        <is>
          <t>Yes</t>
        </is>
      </c>
      <c r="O2042" t="inlineStr">
        <is>
          <t>Yes</t>
        </is>
      </c>
      <c r="P2042" t="inlineStr">
        <is>
          <t>Soundariya B</t>
        </is>
      </c>
      <c r="Q2042" t="inlineStr">
        <is>
          <t>Bad</t>
        </is>
      </c>
    </row>
    <row r="2043">
      <c r="A2043" t="inlineStr">
        <is>
          <t>hitesh.k</t>
        </is>
      </c>
      <c r="B2043" t="inlineStr">
        <is>
          <t>Hitesh Kandpal</t>
        </is>
      </c>
      <c r="C2043" t="inlineStr">
        <is>
          <t>hitesh.k@osmosys.co</t>
        </is>
      </c>
      <c r="D2043" t="inlineStr">
        <is>
          <t>incident-reporter</t>
        </is>
      </c>
      <c r="E2043">
        <f>HYPERLINK("http://gitlab.osmosys.co/incident-reporter/incident-reporter-app", "OQSHA Mobile App")</f>
        <v/>
      </c>
      <c r="F2043">
        <f>HYPERLINK("http://gitlab.osmosys.co/incident-reporter/incident-reporter-app/-/merge_requests/1856", "fix: render standalone checks for MOC")</f>
        <v/>
      </c>
      <c r="G2043" t="inlineStr">
        <is>
          <t>fix/moc-standalone-checks</t>
        </is>
      </c>
      <c r="H2043" t="inlineStr">
        <is>
          <t>sprint-19</t>
        </is>
      </c>
      <c r="I2043" t="inlineStr">
        <is>
          <t>merged</t>
        </is>
      </c>
      <c r="J2043" t="inlineStr">
        <is>
          <t>e3f3a834c5137bebc95bacc5829a468e4b4cc4a6</t>
        </is>
      </c>
      <c r="K2043">
        <f>HYPERLINK("http://gitlab.osmosys.co/incident-reporter/incident-reporter-app/-/merge_requests/1856#note_246036", "done")</f>
        <v/>
      </c>
      <c r="L2043" t="inlineStr">
        <is>
          <t>2025-08-02 10:44:06.997 IST</t>
        </is>
      </c>
      <c r="M2043" t="inlineStr">
        <is>
          <t>Hitesh Kandpal</t>
        </is>
      </c>
      <c r="N2043" t="inlineStr">
        <is>
          <t>No</t>
        </is>
      </c>
      <c r="O2043" t="inlineStr">
        <is>
          <t>Yes</t>
        </is>
      </c>
      <c r="P2043" t="inlineStr">
        <is>
          <t>Soundariya B</t>
        </is>
      </c>
      <c r="Q2043" t="inlineStr">
        <is>
          <t>Bad</t>
        </is>
      </c>
    </row>
    <row r="2044">
      <c r="A2044" t="inlineStr">
        <is>
          <t>hitesh.k</t>
        </is>
      </c>
      <c r="B2044" t="inlineStr">
        <is>
          <t>Hitesh Kandpal</t>
        </is>
      </c>
      <c r="C2044" t="inlineStr">
        <is>
          <t>hitesh.k@osmosys.co</t>
        </is>
      </c>
      <c r="D2044" t="inlineStr">
        <is>
          <t>incident-reporter</t>
        </is>
      </c>
      <c r="E2044">
        <f>HYPERLINK("http://gitlab.osmosys.co/incident-reporter/incident-reporter-app", "OQSHA Mobile App")</f>
        <v/>
      </c>
      <c r="F2044">
        <f>HYPERLINK("http://gitlab.osmosys.co/incident-reporter/incident-reporter-app/-/merge_requests/1856", "fix: render standalone checks for MOC")</f>
        <v/>
      </c>
      <c r="G2044" t="inlineStr">
        <is>
          <t>fix/moc-standalone-checks</t>
        </is>
      </c>
      <c r="H2044" t="inlineStr">
        <is>
          <t>sprint-19</t>
        </is>
      </c>
      <c r="I2044" t="inlineStr">
        <is>
          <t>merged</t>
        </is>
      </c>
      <c r="J2044" t="inlineStr">
        <is>
          <t>767093b1340f0347492731f1dde5a054f9876b3f</t>
        </is>
      </c>
      <c r="K2044">
        <f>HYPERLINK("http://gitlab.osmosys.co/incident-reporter/incident-reporter-app/-/merge_requests/1856#note_245806", "Get the `Enter` from lang files")</f>
        <v/>
      </c>
      <c r="L2044" t="inlineStr">
        <is>
          <t>2025-08-01 19:33:30.762 IST</t>
        </is>
      </c>
      <c r="M2044" t="inlineStr">
        <is>
          <t>Soundariya B</t>
        </is>
      </c>
      <c r="N2044" t="inlineStr">
        <is>
          <t>Yes</t>
        </is>
      </c>
      <c r="O2044" t="inlineStr">
        <is>
          <t>Yes</t>
        </is>
      </c>
      <c r="P2044" t="inlineStr">
        <is>
          <t>Soundariya B</t>
        </is>
      </c>
      <c r="Q2044" t="inlineStr">
        <is>
          <t>Bad</t>
        </is>
      </c>
    </row>
    <row r="2045">
      <c r="A2045" t="inlineStr">
        <is>
          <t>hitesh.k</t>
        </is>
      </c>
      <c r="B2045" t="inlineStr">
        <is>
          <t>Hitesh Kandpal</t>
        </is>
      </c>
      <c r="C2045" t="inlineStr">
        <is>
          <t>hitesh.k@osmosys.co</t>
        </is>
      </c>
      <c r="D2045" t="inlineStr">
        <is>
          <t>incident-reporter</t>
        </is>
      </c>
      <c r="E2045">
        <f>HYPERLINK("http://gitlab.osmosys.co/incident-reporter/incident-reporter-app", "OQSHA Mobile App")</f>
        <v/>
      </c>
      <c r="F2045">
        <f>HYPERLINK("http://gitlab.osmosys.co/incident-reporter/incident-reporter-app/-/merge_requests/1856", "fix: render standalone checks for MOC")</f>
        <v/>
      </c>
      <c r="G2045" t="inlineStr">
        <is>
          <t>fix/moc-standalone-checks</t>
        </is>
      </c>
      <c r="H2045" t="inlineStr">
        <is>
          <t>sprint-19</t>
        </is>
      </c>
      <c r="I2045" t="inlineStr">
        <is>
          <t>merged</t>
        </is>
      </c>
      <c r="J2045" t="inlineStr">
        <is>
          <t>767093b1340f0347492731f1dde5a054f9876b3f</t>
        </is>
      </c>
      <c r="K2045">
        <f>HYPERLINK("http://gitlab.osmosys.co/incident-reporter/incident-reporter-app/-/merge_requests/1856#note_246140", "Not yet fixed")</f>
        <v/>
      </c>
      <c r="L2045" t="inlineStr">
        <is>
          <t>2025-08-02 12:54:15.167 IST</t>
        </is>
      </c>
      <c r="M2045" t="inlineStr">
        <is>
          <t>Soundariya B</t>
        </is>
      </c>
      <c r="N2045" t="inlineStr">
        <is>
          <t>Yes</t>
        </is>
      </c>
      <c r="O2045" t="inlineStr">
        <is>
          <t>Yes</t>
        </is>
      </c>
      <c r="P2045" t="inlineStr">
        <is>
          <t>Soundariya B</t>
        </is>
      </c>
      <c r="Q2045" t="inlineStr">
        <is>
          <t>Bad</t>
        </is>
      </c>
    </row>
    <row r="2046">
      <c r="A2046" t="inlineStr">
        <is>
          <t>hitesh.k</t>
        </is>
      </c>
      <c r="B2046" t="inlineStr">
        <is>
          <t>Hitesh Kandpal</t>
        </is>
      </c>
      <c r="C2046" t="inlineStr">
        <is>
          <t>hitesh.k@osmosys.co</t>
        </is>
      </c>
      <c r="D2046" t="inlineStr">
        <is>
          <t>incident-reporter</t>
        </is>
      </c>
      <c r="E2046">
        <f>HYPERLINK("http://gitlab.osmosys.co/incident-reporter/incident-reporter-app", "OQSHA Mobile App")</f>
        <v/>
      </c>
      <c r="F2046">
        <f>HYPERLINK("http://gitlab.osmosys.co/incident-reporter/incident-reporter-app/-/merge_requests/1856", "fix: render standalone checks for MOC")</f>
        <v/>
      </c>
      <c r="G2046" t="inlineStr">
        <is>
          <t>fix/moc-standalone-checks</t>
        </is>
      </c>
      <c r="H2046" t="inlineStr">
        <is>
          <t>sprint-19</t>
        </is>
      </c>
      <c r="I2046" t="inlineStr">
        <is>
          <t>merged</t>
        </is>
      </c>
      <c r="J2046" t="inlineStr">
        <is>
          <t>767093b1340f0347492731f1dde5a054f9876b3f</t>
        </is>
      </c>
      <c r="K2046">
        <f>HYPERLINK("http://gitlab.osmosys.co/incident-reporter/incident-reporter-app/-/merge_requests/1856#note_246189", "sorry i missed it last time, update this now")</f>
        <v/>
      </c>
      <c r="L2046" t="inlineStr">
        <is>
          <t>2025-08-02 13:12:56.449 IST</t>
        </is>
      </c>
      <c r="M2046" t="inlineStr">
        <is>
          <t>Hitesh Kandpal</t>
        </is>
      </c>
      <c r="N2046" t="inlineStr">
        <is>
          <t>No</t>
        </is>
      </c>
      <c r="O2046" t="inlineStr">
        <is>
          <t>Yes</t>
        </is>
      </c>
      <c r="P2046" t="inlineStr">
        <is>
          <t>Soundariya B</t>
        </is>
      </c>
      <c r="Q2046" t="inlineStr">
        <is>
          <t>Bad</t>
        </is>
      </c>
    </row>
    <row r="2047">
      <c r="A2047" t="inlineStr">
        <is>
          <t>hitesh.k</t>
        </is>
      </c>
      <c r="B2047" t="inlineStr">
        <is>
          <t>Hitesh Kandpal</t>
        </is>
      </c>
      <c r="C2047" t="inlineStr">
        <is>
          <t>hitesh.k@osmosys.co</t>
        </is>
      </c>
      <c r="D2047" t="inlineStr">
        <is>
          <t>incident-reporter</t>
        </is>
      </c>
      <c r="E2047">
        <f>HYPERLINK("http://gitlab.osmosys.co/incident-reporter/incident-reporter-app", "OQSHA Mobile App")</f>
        <v/>
      </c>
      <c r="F2047">
        <f>HYPERLINK("http://gitlab.osmosys.co/incident-reporter/incident-reporter-app/-/merge_requests/1856", "fix: render standalone checks for MOC")</f>
        <v/>
      </c>
      <c r="G2047" t="inlineStr">
        <is>
          <t>fix/moc-standalone-checks</t>
        </is>
      </c>
      <c r="H2047" t="inlineStr">
        <is>
          <t>sprint-19</t>
        </is>
      </c>
      <c r="I2047" t="inlineStr">
        <is>
          <t>merged</t>
        </is>
      </c>
      <c r="J2047" t="inlineStr">
        <is>
          <t>624a50f6df622a8c54a22e559471d803859ca7c0</t>
        </is>
      </c>
      <c r="K2047">
        <f>HYPERLINK("http://gitlab.osmosys.co/incident-reporter/incident-reporter-app/-/merge_requests/1856#note_245807", "All three methods are doing same thing so can you use single function for all three fields? With this it will reduce the code and redundancy")</f>
        <v/>
      </c>
      <c r="L2047" t="inlineStr">
        <is>
          <t>2025-08-01 19:33:30.817 IST</t>
        </is>
      </c>
      <c r="M2047" t="inlineStr">
        <is>
          <t>Soundariya B</t>
        </is>
      </c>
      <c r="N2047" t="inlineStr">
        <is>
          <t>Yes</t>
        </is>
      </c>
      <c r="O2047" t="inlineStr">
        <is>
          <t>Yes</t>
        </is>
      </c>
      <c r="P2047" t="inlineStr">
        <is>
          <t>Soundariya B</t>
        </is>
      </c>
      <c r="Q2047" t="inlineStr">
        <is>
          <t>Neutral</t>
        </is>
      </c>
    </row>
    <row r="2048">
      <c r="A2048" t="inlineStr">
        <is>
          <t>hitesh.k</t>
        </is>
      </c>
      <c r="B2048" t="inlineStr">
        <is>
          <t>Hitesh Kandpal</t>
        </is>
      </c>
      <c r="C2048" t="inlineStr">
        <is>
          <t>hitesh.k@osmosys.co</t>
        </is>
      </c>
      <c r="D2048" t="inlineStr">
        <is>
          <t>incident-reporter</t>
        </is>
      </c>
      <c r="E2048">
        <f>HYPERLINK("http://gitlab.osmosys.co/incident-reporter/incident-reporter-app", "OQSHA Mobile App")</f>
        <v/>
      </c>
      <c r="F2048">
        <f>HYPERLINK("http://gitlab.osmosys.co/incident-reporter/incident-reporter-app/-/merge_requests/1856", "fix: render standalone checks for MOC")</f>
        <v/>
      </c>
      <c r="G2048" t="inlineStr">
        <is>
          <t>fix/moc-standalone-checks</t>
        </is>
      </c>
      <c r="H2048" t="inlineStr">
        <is>
          <t>sprint-19</t>
        </is>
      </c>
      <c r="I2048" t="inlineStr">
        <is>
          <t>merged</t>
        </is>
      </c>
      <c r="J2048" t="inlineStr">
        <is>
          <t>624a50f6df622a8c54a22e559471d803859ca7c0</t>
        </is>
      </c>
      <c r="K2048">
        <f>HYPERLINK("http://gitlab.osmosys.co/incident-reporter/incident-reporter-app/-/merge_requests/1856#note_245895", "it's better to handle each check separately as if we want to handle date or time in different manner it's easy to change specific things for each check, plus it follows the same code as other places making it consistent with codebase")</f>
        <v/>
      </c>
      <c r="L2048" t="inlineStr">
        <is>
          <t>2025-08-01 23:37:29.032 IST</t>
        </is>
      </c>
      <c r="M2048" t="inlineStr">
        <is>
          <t>Hitesh Kandpal</t>
        </is>
      </c>
      <c r="N2048" t="inlineStr">
        <is>
          <t>No</t>
        </is>
      </c>
      <c r="O2048" t="inlineStr">
        <is>
          <t>Yes</t>
        </is>
      </c>
      <c r="P2048" t="inlineStr">
        <is>
          <t>Soundariya B</t>
        </is>
      </c>
      <c r="Q2048" t="inlineStr">
        <is>
          <t>Neutral</t>
        </is>
      </c>
    </row>
    <row r="2049">
      <c r="A2049" t="inlineStr">
        <is>
          <t>hitesh.k</t>
        </is>
      </c>
      <c r="B2049" t="inlineStr">
        <is>
          <t>Hitesh Kandpal</t>
        </is>
      </c>
      <c r="C2049" t="inlineStr">
        <is>
          <t>hitesh.k@osmosys.co</t>
        </is>
      </c>
      <c r="D2049" t="inlineStr">
        <is>
          <t>incident-reporter</t>
        </is>
      </c>
      <c r="E2049">
        <f>HYPERLINK("http://gitlab.osmosys.co/incident-reporter/incident-reporter-app", "OQSHA Mobile App")</f>
        <v/>
      </c>
      <c r="F2049">
        <f>HYPERLINK("http://gitlab.osmosys.co/incident-reporter/incident-reporter-app/-/merge_requests/1856", "fix: render standalone checks for MOC")</f>
        <v/>
      </c>
      <c r="G2049" t="inlineStr">
        <is>
          <t>fix/moc-standalone-checks</t>
        </is>
      </c>
      <c r="H2049" t="inlineStr">
        <is>
          <t>sprint-19</t>
        </is>
      </c>
      <c r="I2049" t="inlineStr">
        <is>
          <t>merged</t>
        </is>
      </c>
      <c r="J2049" t="inlineStr">
        <is>
          <t>ffed8ca35e3b6a4d4172bc0e2bf9e257577eac19</t>
        </is>
      </c>
      <c r="K2049">
        <f>HYPERLINK("http://gitlab.osmosys.co/incident-reporter/incident-reporter-app/-/merge_requests/1856#note_245808", "Code repetition please check and fix it")</f>
        <v/>
      </c>
      <c r="L2049" t="inlineStr">
        <is>
          <t>2025-08-01 19:33:30.873 IST</t>
        </is>
      </c>
      <c r="M2049" t="inlineStr">
        <is>
          <t>Soundariya B</t>
        </is>
      </c>
      <c r="N2049" t="inlineStr">
        <is>
          <t>Yes</t>
        </is>
      </c>
      <c r="O2049" t="inlineStr">
        <is>
          <t>Yes</t>
        </is>
      </c>
      <c r="P2049" t="inlineStr">
        <is>
          <t>Soundariya B</t>
        </is>
      </c>
      <c r="Q2049" t="inlineStr">
        <is>
          <t>Bad</t>
        </is>
      </c>
    </row>
    <row r="2050">
      <c r="A2050" t="inlineStr">
        <is>
          <t>hitesh.k</t>
        </is>
      </c>
      <c r="B2050" t="inlineStr">
        <is>
          <t>Hitesh Kandpal</t>
        </is>
      </c>
      <c r="C2050" t="inlineStr">
        <is>
          <t>hitesh.k@osmosys.co</t>
        </is>
      </c>
      <c r="D2050" t="inlineStr">
        <is>
          <t>incident-reporter</t>
        </is>
      </c>
      <c r="E2050">
        <f>HYPERLINK("http://gitlab.osmosys.co/incident-reporter/incident-reporter-app", "OQSHA Mobile App")</f>
        <v/>
      </c>
      <c r="F2050">
        <f>HYPERLINK("http://gitlab.osmosys.co/incident-reporter/incident-reporter-app/-/merge_requests/1856", "fix: render standalone checks for MOC")</f>
        <v/>
      </c>
      <c r="G2050" t="inlineStr">
        <is>
          <t>fix/moc-standalone-checks</t>
        </is>
      </c>
      <c r="H2050" t="inlineStr">
        <is>
          <t>sprint-19</t>
        </is>
      </c>
      <c r="I2050" t="inlineStr">
        <is>
          <t>merged</t>
        </is>
      </c>
      <c r="J2050" t="inlineStr">
        <is>
          <t>ffed8ca35e3b6a4d4172bc0e2bf9e257577eac19</t>
        </is>
      </c>
      <c r="K2050">
        <f>HYPERLINK("http://gitlab.osmosys.co/incident-reporter/incident-reporter-app/-/merge_requests/1856#note_246040", "what repetitive here? this id check is used for single select and multiselect check which needs to be handle differently")</f>
        <v/>
      </c>
      <c r="L2050" t="inlineStr">
        <is>
          <t>2025-08-02 10:50:31.407 IST</t>
        </is>
      </c>
      <c r="M2050" t="inlineStr">
        <is>
          <t>Hitesh Kandpal</t>
        </is>
      </c>
      <c r="N2050" t="inlineStr">
        <is>
          <t>No</t>
        </is>
      </c>
      <c r="O2050" t="inlineStr">
        <is>
          <t>Yes</t>
        </is>
      </c>
      <c r="P2050" t="inlineStr">
        <is>
          <t>Soundariya B</t>
        </is>
      </c>
      <c r="Q2050" t="inlineStr">
        <is>
          <t>Bad</t>
        </is>
      </c>
    </row>
    <row r="2051">
      <c r="A2051" t="inlineStr">
        <is>
          <t>hitesh.k</t>
        </is>
      </c>
      <c r="B2051" t="inlineStr">
        <is>
          <t>Hitesh Kandpal</t>
        </is>
      </c>
      <c r="C2051" t="inlineStr">
        <is>
          <t>hitesh.k@osmosys.co</t>
        </is>
      </c>
      <c r="D2051" t="inlineStr">
        <is>
          <t>incident-reporter</t>
        </is>
      </c>
      <c r="E2051">
        <f>HYPERLINK("http://gitlab.osmosys.co/incident-reporter/incident-reporter-app", "OQSHA Mobile App")</f>
        <v/>
      </c>
      <c r="F2051">
        <f>HYPERLINK("http://gitlab.osmosys.co/incident-reporter/incident-reporter-app/-/merge_requests/1856", "fix: render standalone checks for MOC")</f>
        <v/>
      </c>
      <c r="G2051" t="inlineStr">
        <is>
          <t>fix/moc-standalone-checks</t>
        </is>
      </c>
      <c r="H2051" t="inlineStr">
        <is>
          <t>sprint-19</t>
        </is>
      </c>
      <c r="I2051" t="inlineStr">
        <is>
          <t>merged</t>
        </is>
      </c>
      <c r="J2051" t="inlineStr">
        <is>
          <t>ffed8ca35e3b6a4d4172bc0e2bf9e257577eac19</t>
        </is>
      </c>
      <c r="K2051">
        <f>HYPERLINK("http://gitlab.osmosys.co/incident-reporter/incident-reporter-app/-/merge_requests/1856#note_246136", "```
const check = this.standaloneSection?.Checks.find((c) =&gt; c.Check === checkKey);
if (!check || !Array.isArray(check.CheckOptions)) {
  return;
}
```
I meant this code is repetitive if you check carefully and also use the meaningful variable instead of c.")</f>
        <v/>
      </c>
      <c r="L2051" t="inlineStr">
        <is>
          <t>2025-08-02 12:50:58.175 IST</t>
        </is>
      </c>
      <c r="M2051" t="inlineStr">
        <is>
          <t>Soundariya B</t>
        </is>
      </c>
      <c r="N2051" t="inlineStr">
        <is>
          <t>Yes</t>
        </is>
      </c>
      <c r="O2051" t="inlineStr">
        <is>
          <t>Yes</t>
        </is>
      </c>
      <c r="P2051" t="inlineStr">
        <is>
          <t>Soundariya B</t>
        </is>
      </c>
      <c r="Q2051" t="inlineStr">
        <is>
          <t>Bad</t>
        </is>
      </c>
    </row>
    <row r="2052">
      <c r="A2052" t="inlineStr">
        <is>
          <t>hitesh.k</t>
        </is>
      </c>
      <c r="B2052" t="inlineStr">
        <is>
          <t>Hitesh Kandpal</t>
        </is>
      </c>
      <c r="C2052" t="inlineStr">
        <is>
          <t>hitesh.k@osmosys.co</t>
        </is>
      </c>
      <c r="D2052" t="inlineStr">
        <is>
          <t>incident-reporter</t>
        </is>
      </c>
      <c r="E2052">
        <f>HYPERLINK("http://gitlab.osmosys.co/incident-reporter/incident-reporter-app", "OQSHA Mobile App")</f>
        <v/>
      </c>
      <c r="F2052">
        <f>HYPERLINK("http://gitlab.osmosys.co/incident-reporter/incident-reporter-app/-/merge_requests/1856", "fix: render standalone checks for MOC")</f>
        <v/>
      </c>
      <c r="G2052" t="inlineStr">
        <is>
          <t>fix/moc-standalone-checks</t>
        </is>
      </c>
      <c r="H2052" t="inlineStr">
        <is>
          <t>sprint-19</t>
        </is>
      </c>
      <c r="I2052" t="inlineStr">
        <is>
          <t>merged</t>
        </is>
      </c>
      <c r="J2052" t="inlineStr">
        <is>
          <t>ffed8ca35e3b6a4d4172bc0e2bf9e257577eac19</t>
        </is>
      </c>
      <c r="K2052">
        <f>HYPERLINK("http://gitlab.osmosys.co/incident-reporter/incident-reporter-app/-/merge_requests/1856#note_246180", "but we need this check for both single select and multiselect, it's not a big code block, it's a basic validation
updated variable name from c to checkOpt")</f>
        <v/>
      </c>
      <c r="L2052" t="inlineStr">
        <is>
          <t>2025-08-02 13:07:46.742 IST</t>
        </is>
      </c>
      <c r="M2052" t="inlineStr">
        <is>
          <t>Hitesh Kandpal</t>
        </is>
      </c>
      <c r="N2052" t="inlineStr">
        <is>
          <t>No</t>
        </is>
      </c>
      <c r="O2052" t="inlineStr">
        <is>
          <t>Yes</t>
        </is>
      </c>
      <c r="P2052" t="inlineStr">
        <is>
          <t>Soundariya B</t>
        </is>
      </c>
      <c r="Q2052" t="inlineStr">
        <is>
          <t>Bad</t>
        </is>
      </c>
    </row>
    <row r="2053">
      <c r="A2053" t="inlineStr">
        <is>
          <t>hitesh.k</t>
        </is>
      </c>
      <c r="B2053" t="inlineStr">
        <is>
          <t>Hitesh Kandpal</t>
        </is>
      </c>
      <c r="C2053" t="inlineStr">
        <is>
          <t>hitesh.k@osmosys.co</t>
        </is>
      </c>
      <c r="D2053" t="inlineStr">
        <is>
          <t>incident-reporter</t>
        </is>
      </c>
      <c r="E2053">
        <f>HYPERLINK("http://gitlab.osmosys.co/incident-reporter/incident-reporter-app", "OQSHA Mobile App")</f>
        <v/>
      </c>
      <c r="F2053">
        <f>HYPERLINK("http://gitlab.osmosys.co/incident-reporter/incident-reporter-app/-/merge_requests/1856", "fix: render standalone checks for MOC")</f>
        <v/>
      </c>
      <c r="G2053" t="inlineStr">
        <is>
          <t>fix/moc-standalone-checks</t>
        </is>
      </c>
      <c r="H2053" t="inlineStr">
        <is>
          <t>sprint-19</t>
        </is>
      </c>
      <c r="I2053" t="inlineStr">
        <is>
          <t>merged</t>
        </is>
      </c>
      <c r="J2053" t="inlineStr">
        <is>
          <t>c5b38cfcacfc3cd6bbf15fc652f2feb975c5d521</t>
        </is>
      </c>
      <c r="K2053">
        <f>HYPERLINK("http://gitlab.osmosys.co/incident-reporter/incident-reporter-app/-/merge_requests/1856#note_245809", "Both are same again")</f>
        <v/>
      </c>
      <c r="L2053" t="inlineStr">
        <is>
          <t>2025-08-01 19:33:30.928 IST</t>
        </is>
      </c>
      <c r="M2053" t="inlineStr">
        <is>
          <t>Soundariya B</t>
        </is>
      </c>
      <c r="N2053" t="inlineStr">
        <is>
          <t>Yes</t>
        </is>
      </c>
      <c r="O2053" t="inlineStr">
        <is>
          <t>Yes</t>
        </is>
      </c>
      <c r="P2053" t="inlineStr">
        <is>
          <t>Soundariya B</t>
        </is>
      </c>
      <c r="Q2053" t="inlineStr">
        <is>
          <t>Bad</t>
        </is>
      </c>
    </row>
    <row r="2054">
      <c r="A2054" t="inlineStr">
        <is>
          <t>hitesh.k</t>
        </is>
      </c>
      <c r="B2054" t="inlineStr">
        <is>
          <t>Hitesh Kandpal</t>
        </is>
      </c>
      <c r="C2054" t="inlineStr">
        <is>
          <t>hitesh.k@osmosys.co</t>
        </is>
      </c>
      <c r="D2054" t="inlineStr">
        <is>
          <t>incident-reporter</t>
        </is>
      </c>
      <c r="E2054">
        <f>HYPERLINK("http://gitlab.osmosys.co/incident-reporter/incident-reporter-app", "OQSHA Mobile App")</f>
        <v/>
      </c>
      <c r="F2054">
        <f>HYPERLINK("http://gitlab.osmosys.co/incident-reporter/incident-reporter-app/-/merge_requests/1856", "fix: render standalone checks for MOC")</f>
        <v/>
      </c>
      <c r="G2054" t="inlineStr">
        <is>
          <t>fix/moc-standalone-checks</t>
        </is>
      </c>
      <c r="H2054" t="inlineStr">
        <is>
          <t>sprint-19</t>
        </is>
      </c>
      <c r="I2054" t="inlineStr">
        <is>
          <t>merged</t>
        </is>
      </c>
      <c r="J2054" t="inlineStr">
        <is>
          <t>c5b38cfcacfc3cd6bbf15fc652f2feb975c5d521</t>
        </is>
      </c>
      <c r="K2054">
        <f>HYPERLINK("http://gitlab.osmosys.co/incident-reporter/incident-reporter-app/-/merge_requests/1856#note_246049", "removed one function")</f>
        <v/>
      </c>
      <c r="L2054" t="inlineStr">
        <is>
          <t>2025-08-02 10:56:01.741 IST</t>
        </is>
      </c>
      <c r="M2054" t="inlineStr">
        <is>
          <t>Hitesh Kandpal</t>
        </is>
      </c>
      <c r="N2054" t="inlineStr">
        <is>
          <t>No</t>
        </is>
      </c>
      <c r="O2054" t="inlineStr">
        <is>
          <t>Yes</t>
        </is>
      </c>
      <c r="P2054" t="inlineStr">
        <is>
          <t>Soundariya B</t>
        </is>
      </c>
      <c r="Q2054" t="inlineStr">
        <is>
          <t>Bad</t>
        </is>
      </c>
    </row>
    <row r="2055">
      <c r="A2055" t="inlineStr">
        <is>
          <t>hitesh.k</t>
        </is>
      </c>
      <c r="B2055" t="inlineStr">
        <is>
          <t>Hitesh Kandpal</t>
        </is>
      </c>
      <c r="C2055" t="inlineStr">
        <is>
          <t>hitesh.k@osmosys.co</t>
        </is>
      </c>
      <c r="D2055" t="inlineStr">
        <is>
          <t>incident-reporter</t>
        </is>
      </c>
      <c r="E2055">
        <f>HYPERLINK("http://gitlab.osmosys.co/incident-reporter/incident-reporter-app", "OQSHA Mobile App")</f>
        <v/>
      </c>
      <c r="F2055">
        <f>HYPERLINK("http://gitlab.osmosys.co/incident-reporter/incident-reporter-app/-/merge_requests/1828", "feat: handle standalone checks rendering")</f>
        <v/>
      </c>
      <c r="G2055" t="inlineStr">
        <is>
          <t>feat/render-standalone-checks</t>
        </is>
      </c>
      <c r="H2055" t="inlineStr">
        <is>
          <t>sprint-18</t>
        </is>
      </c>
      <c r="I2055" t="inlineStr">
        <is>
          <t>merged</t>
        </is>
      </c>
      <c r="J2055" t="inlineStr">
        <is>
          <t>d49a9e003a80d00203cf224986d45a102733cca3</t>
        </is>
      </c>
      <c r="K2055">
        <f>HYPERLINK("http://gitlab.osmosys.co/incident-reporter/incident-reporter-app/-/merge_requests/1828#note_242222", "As its functional then test case and screenrecording must be attach")</f>
        <v/>
      </c>
      <c r="L2055" t="inlineStr">
        <is>
          <t>2025-07-25 22:32:12.838 IST</t>
        </is>
      </c>
      <c r="M2055" t="inlineStr">
        <is>
          <t>Soundariya B</t>
        </is>
      </c>
      <c r="N2055" t="inlineStr">
        <is>
          <t>Yes</t>
        </is>
      </c>
      <c r="O2055" t="inlineStr">
        <is>
          <t>Yes</t>
        </is>
      </c>
      <c r="P2055" t="inlineStr">
        <is>
          <t>Soundariya B</t>
        </is>
      </c>
      <c r="Q2055" t="inlineStr">
        <is>
          <t>Bad</t>
        </is>
      </c>
    </row>
    <row r="2056">
      <c r="A2056" t="inlineStr">
        <is>
          <t>hitesh.k</t>
        </is>
      </c>
      <c r="B2056" t="inlineStr">
        <is>
          <t>Hitesh Kandpal</t>
        </is>
      </c>
      <c r="C2056" t="inlineStr">
        <is>
          <t>hitesh.k@osmosys.co</t>
        </is>
      </c>
      <c r="D2056" t="inlineStr">
        <is>
          <t>incident-reporter</t>
        </is>
      </c>
      <c r="E2056">
        <f>HYPERLINK("http://gitlab.osmosys.co/incident-reporter/incident-reporter-app", "OQSHA Mobile App")</f>
        <v/>
      </c>
      <c r="F2056">
        <f>HYPERLINK("http://gitlab.osmosys.co/incident-reporter/incident-reporter-app/-/merge_requests/1828", "feat: handle standalone checks rendering")</f>
        <v/>
      </c>
      <c r="G2056" t="inlineStr">
        <is>
          <t>feat/render-standalone-checks</t>
        </is>
      </c>
      <c r="H2056" t="inlineStr">
        <is>
          <t>sprint-18</t>
        </is>
      </c>
      <c r="I2056" t="inlineStr">
        <is>
          <t>merged</t>
        </is>
      </c>
      <c r="J2056" t="inlineStr">
        <is>
          <t>d49a9e003a80d00203cf224986d45a102733cca3</t>
        </is>
      </c>
      <c r="K2056">
        <f>HYPERLINK("http://gitlab.osmosys.co/incident-reporter/incident-reporter-app/-/merge_requests/1828#note_242230", "nothing is functional here, i added screenshot for rendering the standalone section which gets rendered just like any other sections, every other logic is same")</f>
        <v/>
      </c>
      <c r="L2056" t="inlineStr">
        <is>
          <t>2025-07-25 22:36:10.675 IST</t>
        </is>
      </c>
      <c r="M2056" t="inlineStr">
        <is>
          <t>Hitesh Kandpal</t>
        </is>
      </c>
      <c r="N2056" t="inlineStr">
        <is>
          <t>No</t>
        </is>
      </c>
      <c r="O2056" t="inlineStr">
        <is>
          <t>Yes</t>
        </is>
      </c>
      <c r="P2056" t="inlineStr">
        <is>
          <t>Soundariya B</t>
        </is>
      </c>
      <c r="Q2056" t="inlineStr">
        <is>
          <t>Bad</t>
        </is>
      </c>
    </row>
    <row r="2057">
      <c r="A2057" t="inlineStr">
        <is>
          <t>hitesh.k</t>
        </is>
      </c>
      <c r="B2057" t="inlineStr">
        <is>
          <t>Hitesh Kandpal</t>
        </is>
      </c>
      <c r="C2057" t="inlineStr">
        <is>
          <t>hitesh.k@osmosys.co</t>
        </is>
      </c>
      <c r="D2057" t="inlineStr">
        <is>
          <t>incident-reporter</t>
        </is>
      </c>
      <c r="E2057">
        <f>HYPERLINK("http://gitlab.osmosys.co/incident-reporter/incident-reporter-app", "OQSHA Mobile App")</f>
        <v/>
      </c>
      <c r="F2057">
        <f>HYPERLINK("http://gitlab.osmosys.co/incident-reporter/incident-reporter-app/-/merge_requests/1828", "feat: handle standalone checks rendering")</f>
        <v/>
      </c>
      <c r="G2057" t="inlineStr">
        <is>
          <t>feat/render-standalone-checks</t>
        </is>
      </c>
      <c r="H2057" t="inlineStr">
        <is>
          <t>sprint-18</t>
        </is>
      </c>
      <c r="I2057" t="inlineStr">
        <is>
          <t>merged</t>
        </is>
      </c>
      <c r="J2057" t="inlineStr">
        <is>
          <t>32b52e49f09cdf5ea38e2347db57f1de51a53596</t>
        </is>
      </c>
      <c r="K2057">
        <f>HYPERLINK("http://gitlab.osmosys.co/incident-reporter/incident-reporter-app/-/merge_requests/1828#note_242223", "For commented code I mentioned in portal PR please ref that")</f>
        <v/>
      </c>
      <c r="L2057" t="inlineStr">
        <is>
          <t>2025-07-25 22:32:12.905 IST</t>
        </is>
      </c>
      <c r="M2057" t="inlineStr">
        <is>
          <t>Soundariya B</t>
        </is>
      </c>
      <c r="N2057" t="inlineStr">
        <is>
          <t>Yes</t>
        </is>
      </c>
      <c r="O2057" t="inlineStr">
        <is>
          <t>Yes</t>
        </is>
      </c>
      <c r="P2057" t="inlineStr">
        <is>
          <t>Soundariya B</t>
        </is>
      </c>
      <c r="Q2057" t="inlineStr">
        <is>
          <t>Neutral</t>
        </is>
      </c>
    </row>
    <row r="2058">
      <c r="A2058" t="inlineStr">
        <is>
          <t>hitesh.k</t>
        </is>
      </c>
      <c r="B2058" t="inlineStr">
        <is>
          <t>Hitesh Kandpal</t>
        </is>
      </c>
      <c r="C2058" t="inlineStr">
        <is>
          <t>hitesh.k@osmosys.co</t>
        </is>
      </c>
      <c r="D2058" t="inlineStr">
        <is>
          <t>incident-reporter</t>
        </is>
      </c>
      <c r="E2058">
        <f>HYPERLINK("http://gitlab.osmosys.co/incident-reporter/incident-reporter-app", "OQSHA Mobile App")</f>
        <v/>
      </c>
      <c r="F2058">
        <f>HYPERLINK("http://gitlab.osmosys.co/incident-reporter/incident-reporter-app/-/merge_requests/1822", "fix: fix label for edit button")</f>
        <v/>
      </c>
      <c r="G2058" t="inlineStr">
        <is>
          <t>fix/fix-button-label</t>
        </is>
      </c>
      <c r="H2058" t="inlineStr">
        <is>
          <t>sprint-17</t>
        </is>
      </c>
      <c r="I2058" t="inlineStr">
        <is>
          <t>merged</t>
        </is>
      </c>
      <c r="J2058" t="inlineStr"/>
      <c r="K2058" t="inlineStr"/>
      <c r="L2058" t="inlineStr"/>
      <c r="M2058" t="inlineStr"/>
      <c r="N2058" t="inlineStr"/>
      <c r="O2058" t="inlineStr"/>
      <c r="P2058" t="inlineStr"/>
      <c r="Q2058" t="inlineStr"/>
    </row>
    <row r="2059">
      <c r="A2059" t="inlineStr">
        <is>
          <t>hitesh.k</t>
        </is>
      </c>
      <c r="B2059" t="inlineStr">
        <is>
          <t>Hitesh Kandpal</t>
        </is>
      </c>
      <c r="C2059" t="inlineStr">
        <is>
          <t>hitesh.k@osmosys.co</t>
        </is>
      </c>
      <c r="D2059" t="inlineStr">
        <is>
          <t>incident-reporter</t>
        </is>
      </c>
      <c r="E2059">
        <f>HYPERLINK("http://gitlab.osmosys.co/incident-reporter/incident-reporter-app", "OQSHA Mobile App")</f>
        <v/>
      </c>
      <c r="F2059">
        <f>HYPERLINK("http://gitlab.osmosys.co/incident-reporter/incident-reporter-app/-/merge_requests/1821", "fix: fix company dropdown")</f>
        <v/>
      </c>
      <c r="G2059" t="inlineStr">
        <is>
          <t>fix/fix-company-dropdown</t>
        </is>
      </c>
      <c r="H2059" t="inlineStr">
        <is>
          <t>sprint-17</t>
        </is>
      </c>
      <c r="I2059" t="inlineStr">
        <is>
          <t>merged</t>
        </is>
      </c>
      <c r="J2059" t="inlineStr"/>
      <c r="K2059" t="inlineStr"/>
      <c r="L2059" t="inlineStr"/>
      <c r="M2059" t="inlineStr"/>
      <c r="N2059" t="inlineStr"/>
      <c r="O2059" t="inlineStr"/>
      <c r="P2059" t="inlineStr"/>
      <c r="Q2059" t="inlineStr"/>
    </row>
    <row r="2060">
      <c r="A2060" t="inlineStr">
        <is>
          <t>hitesh.k</t>
        </is>
      </c>
      <c r="B2060" t="inlineStr">
        <is>
          <t>Hitesh Kandpal</t>
        </is>
      </c>
      <c r="C2060" t="inlineStr">
        <is>
          <t>hitesh.k@osmosys.co</t>
        </is>
      </c>
      <c r="D2060" t="inlineStr">
        <is>
          <t>incident-reporter</t>
        </is>
      </c>
      <c r="E2060">
        <f>HYPERLINK("http://gitlab.osmosys.co/incident-reporter/incident-reporter-app", "OQSHA Mobile App")</f>
        <v/>
      </c>
      <c r="F2060">
        <f>HYPERLINK("http://gitlab.osmosys.co/incident-reporter/incident-reporter-app/-/merge_requests/1820", "feat: redirect task to ticket if it's system generated")</f>
        <v/>
      </c>
      <c r="G2060" t="inlineStr">
        <is>
          <t>feat/redirect-task</t>
        </is>
      </c>
      <c r="H2060" t="inlineStr">
        <is>
          <t>sprint-17</t>
        </is>
      </c>
      <c r="I2060" t="inlineStr">
        <is>
          <t>merged</t>
        </is>
      </c>
      <c r="J2060" t="inlineStr"/>
      <c r="K2060" t="inlineStr"/>
      <c r="L2060" t="inlineStr"/>
      <c r="M2060" t="inlineStr"/>
      <c r="N2060" t="inlineStr"/>
      <c r="O2060" t="inlineStr"/>
      <c r="P2060" t="inlineStr"/>
      <c r="Q2060" t="inlineStr"/>
    </row>
    <row r="2061">
      <c r="A2061" t="inlineStr">
        <is>
          <t>hitesh.k</t>
        </is>
      </c>
      <c r="B2061" t="inlineStr">
        <is>
          <t>Hitesh Kandpal</t>
        </is>
      </c>
      <c r="C2061" t="inlineStr">
        <is>
          <t>hitesh.k@osmosys.co</t>
        </is>
      </c>
      <c r="D2061" t="inlineStr">
        <is>
          <t>incident-reporter</t>
        </is>
      </c>
      <c r="E2061">
        <f>HYPERLINK("http://gitlab.osmosys.co/incident-reporter/incident-reporter-app", "OQSHA Mobile App")</f>
        <v/>
      </c>
      <c r="F2061">
        <f>HYPERLINK("http://gitlab.osmosys.co/incident-reporter/incident-reporter-app/-/merge_requests/1810", "fix: fix department icon for hira view page")</f>
        <v/>
      </c>
      <c r="G2061" t="inlineStr">
        <is>
          <t>fix/hira-icon</t>
        </is>
      </c>
      <c r="H2061" t="inlineStr">
        <is>
          <t>sprint-17</t>
        </is>
      </c>
      <c r="I2061" t="inlineStr">
        <is>
          <t>closed</t>
        </is>
      </c>
      <c r="J2061" t="inlineStr"/>
      <c r="K2061" t="inlineStr"/>
      <c r="L2061" t="inlineStr"/>
      <c r="M2061" t="inlineStr"/>
      <c r="N2061" t="inlineStr"/>
      <c r="O2061" t="inlineStr"/>
      <c r="P2061" t="inlineStr"/>
      <c r="Q2061" t="inlineStr"/>
    </row>
    <row r="2062">
      <c r="A2062" t="inlineStr">
        <is>
          <t>hitesh.k</t>
        </is>
      </c>
      <c r="B2062" t="inlineStr">
        <is>
          <t>Hitesh Kandpal</t>
        </is>
      </c>
      <c r="C2062" t="inlineStr">
        <is>
          <t>hitesh.k@osmosys.co</t>
        </is>
      </c>
      <c r="D2062" t="inlineStr">
        <is>
          <t>incident-reporter</t>
        </is>
      </c>
      <c r="E2062">
        <f>HYPERLINK("http://gitlab.osmosys.co/incident-reporter/incident-reporter-app", "OQSHA Mobile App")</f>
        <v/>
      </c>
      <c r="F2062">
        <f>HYPERLINK("http://gitlab.osmosys.co/incident-reporter/incident-reporter-app/-/merge_requests/1750", "feat: render independent checks and sections in online library document")</f>
        <v/>
      </c>
      <c r="G2062" t="inlineStr">
        <is>
          <t>feat/render-library-sections</t>
        </is>
      </c>
      <c r="H2062" t="inlineStr">
        <is>
          <t>sprint-17</t>
        </is>
      </c>
      <c r="I2062" t="inlineStr">
        <is>
          <t>merged</t>
        </is>
      </c>
      <c r="J2062" t="inlineStr">
        <is>
          <t>32b7f083bdd98418b57a66963d2af0754eae928a</t>
        </is>
      </c>
      <c r="K2062">
        <f>HYPERLINK("http://gitlab.osmosys.co/incident-reporter/incident-reporter-app/-/merge_requests/1750#note_234614", "Why is this `/RiskAssessmentFileUpload`? Should it not be `/HIRAFileUpload`?")</f>
        <v/>
      </c>
      <c r="L2062" t="inlineStr">
        <is>
          <t>2025-07-10 23:37:43.081 IST</t>
        </is>
      </c>
      <c r="M2062" t="inlineStr">
        <is>
          <t>Sameer Shaik</t>
        </is>
      </c>
      <c r="N2062" t="inlineStr">
        <is>
          <t>Yes</t>
        </is>
      </c>
      <c r="O2062" t="inlineStr">
        <is>
          <t>Yes</t>
        </is>
      </c>
      <c r="P2062" t="inlineStr">
        <is>
          <t>Sameer Shaik</t>
        </is>
      </c>
      <c r="Q2062" t="inlineStr">
        <is>
          <t>Neutral</t>
        </is>
      </c>
    </row>
    <row r="2063">
      <c r="A2063" t="inlineStr">
        <is>
          <t>hitesh.k</t>
        </is>
      </c>
      <c r="B2063" t="inlineStr">
        <is>
          <t>Hitesh Kandpal</t>
        </is>
      </c>
      <c r="C2063" t="inlineStr">
        <is>
          <t>hitesh.k@osmosys.co</t>
        </is>
      </c>
      <c r="D2063" t="inlineStr">
        <is>
          <t>incident-reporter</t>
        </is>
      </c>
      <c r="E2063">
        <f>HYPERLINK("http://gitlab.osmosys.co/incident-reporter/incident-reporter-app", "OQSHA Mobile App")</f>
        <v/>
      </c>
      <c r="F2063">
        <f>HYPERLINK("http://gitlab.osmosys.co/incident-reporter/incident-reporter-app/-/merge_requests/1750", "feat: render independent checks and sections in online library document")</f>
        <v/>
      </c>
      <c r="G2063" t="inlineStr">
        <is>
          <t>feat/render-library-sections</t>
        </is>
      </c>
      <c r="H2063" t="inlineStr">
        <is>
          <t>sprint-17</t>
        </is>
      </c>
      <c r="I2063" t="inlineStr">
        <is>
          <t>merged</t>
        </is>
      </c>
      <c r="J2063" t="inlineStr">
        <is>
          <t>32b7f083bdd98418b57a66963d2af0754eae928a</t>
        </is>
      </c>
      <c r="K2063">
        <f>HYPERLINK("http://gitlab.osmosys.co/incident-reporter/incident-reporter-app/-/merge_requests/1750#note_234646", "This is the API route — we use whatever route the backend has defined")</f>
        <v/>
      </c>
      <c r="L2063" t="inlineStr">
        <is>
          <t>2025-07-10 23:40:49.052 IST</t>
        </is>
      </c>
      <c r="M2063" t="inlineStr">
        <is>
          <t>Hitesh Kandpal</t>
        </is>
      </c>
      <c r="N2063" t="inlineStr">
        <is>
          <t>No</t>
        </is>
      </c>
      <c r="O2063" t="inlineStr">
        <is>
          <t>Yes</t>
        </is>
      </c>
      <c r="P2063" t="inlineStr">
        <is>
          <t>Sameer Shaik</t>
        </is>
      </c>
      <c r="Q2063" t="inlineStr">
        <is>
          <t>Neutral</t>
        </is>
      </c>
    </row>
    <row r="2064">
      <c r="A2064" t="inlineStr">
        <is>
          <t>hitesh.k</t>
        </is>
      </c>
      <c r="B2064" t="inlineStr">
        <is>
          <t>Hitesh Kandpal</t>
        </is>
      </c>
      <c r="C2064" t="inlineStr">
        <is>
          <t>hitesh.k@osmosys.co</t>
        </is>
      </c>
      <c r="D2064" t="inlineStr">
        <is>
          <t>incident-reporter</t>
        </is>
      </c>
      <c r="E2064">
        <f>HYPERLINK("http://gitlab.osmosys.co/incident-reporter/incident-reporter-app", "OQSHA Mobile App")</f>
        <v/>
      </c>
      <c r="F2064">
        <f>HYPERLINK("http://gitlab.osmosys.co/incident-reporter/incident-reporter-app/-/merge_requests/1750", "feat: render independent checks and sections in online library document")</f>
        <v/>
      </c>
      <c r="G2064" t="inlineStr">
        <is>
          <t>feat/render-library-sections</t>
        </is>
      </c>
      <c r="H2064" t="inlineStr">
        <is>
          <t>sprint-17</t>
        </is>
      </c>
      <c r="I2064" t="inlineStr">
        <is>
          <t>merged</t>
        </is>
      </c>
      <c r="J2064" t="inlineStr">
        <is>
          <t>32b7f083bdd98418b57a66963d2af0754eae928a</t>
        </is>
      </c>
      <c r="K2064">
        <f>HYPERLINK("http://gitlab.osmosys.co/incident-reporter/incident-reporter-app/-/merge_requests/1750#note_234850", "I realised HIRA means RiskAssessment only. I can close this thread.")</f>
        <v/>
      </c>
      <c r="L2064" t="inlineStr">
        <is>
          <t>2025-07-11 01:45:44.173 IST</t>
        </is>
      </c>
      <c r="M2064" t="inlineStr">
        <is>
          <t>Sameer Shaik</t>
        </is>
      </c>
      <c r="N2064" t="inlineStr">
        <is>
          <t>Yes</t>
        </is>
      </c>
      <c r="O2064" t="inlineStr">
        <is>
          <t>Yes</t>
        </is>
      </c>
      <c r="P2064" t="inlineStr">
        <is>
          <t>Sameer Shaik</t>
        </is>
      </c>
      <c r="Q2064" t="inlineStr">
        <is>
          <t>Neutral</t>
        </is>
      </c>
    </row>
    <row r="2065">
      <c r="A2065" t="inlineStr">
        <is>
          <t>hitesh.k</t>
        </is>
      </c>
      <c r="B2065" t="inlineStr">
        <is>
          <t>Hitesh Kandpal</t>
        </is>
      </c>
      <c r="C2065" t="inlineStr">
        <is>
          <t>hitesh.k@osmosys.co</t>
        </is>
      </c>
      <c r="D2065" t="inlineStr">
        <is>
          <t>incident-reporter</t>
        </is>
      </c>
      <c r="E2065">
        <f>HYPERLINK("http://gitlab.osmosys.co/incident-reporter/incident-reporter-app", "OQSHA Mobile App")</f>
        <v/>
      </c>
      <c r="F2065">
        <f>HYPERLINK("http://gitlab.osmosys.co/incident-reporter/incident-reporter-app/-/merge_requests/1750", "feat: render independent checks and sections in online library document")</f>
        <v/>
      </c>
      <c r="G2065" t="inlineStr">
        <is>
          <t>feat/render-library-sections</t>
        </is>
      </c>
      <c r="H2065" t="inlineStr">
        <is>
          <t>sprint-17</t>
        </is>
      </c>
      <c r="I2065" t="inlineStr">
        <is>
          <t>merged</t>
        </is>
      </c>
      <c r="J2065" t="inlineStr">
        <is>
          <t>522cc111bf05ec19ab677b7f1993a5e8233937e0</t>
        </is>
      </c>
      <c r="K2065">
        <f>HYPERLINK("http://gitlab.osmosys.co/incident-reporter/incident-reporter-app/-/merge_requests/1750#note_234615", "Formatting is a bit off here. It doesn't look aligned.")</f>
        <v/>
      </c>
      <c r="L2065" t="inlineStr">
        <is>
          <t>2025-07-10 23:37:43.166 IST</t>
        </is>
      </c>
      <c r="M2065" t="inlineStr">
        <is>
          <t>Sameer Shaik</t>
        </is>
      </c>
      <c r="N2065" t="inlineStr">
        <is>
          <t>Yes</t>
        </is>
      </c>
      <c r="O2065" t="inlineStr">
        <is>
          <t>Yes</t>
        </is>
      </c>
      <c r="P2065" t="inlineStr">
        <is>
          <t>Sameer Shaik</t>
        </is>
      </c>
      <c r="Q2065" t="inlineStr">
        <is>
          <t>Neutral</t>
        </is>
      </c>
    </row>
    <row r="2066">
      <c r="A2066" t="inlineStr">
        <is>
          <t>hitesh.k</t>
        </is>
      </c>
      <c r="B2066" t="inlineStr">
        <is>
          <t>Hitesh Kandpal</t>
        </is>
      </c>
      <c r="C2066" t="inlineStr">
        <is>
          <t>hitesh.k@osmosys.co</t>
        </is>
      </c>
      <c r="D2066" t="inlineStr">
        <is>
          <t>incident-reporter</t>
        </is>
      </c>
      <c r="E2066">
        <f>HYPERLINK("http://gitlab.osmosys.co/incident-reporter/incident-reporter-app", "OQSHA Mobile App")</f>
        <v/>
      </c>
      <c r="F2066">
        <f>HYPERLINK("http://gitlab.osmosys.co/incident-reporter/incident-reporter-app/-/merge_requests/1750", "feat: render independent checks and sections in online library document")</f>
        <v/>
      </c>
      <c r="G2066" t="inlineStr">
        <is>
          <t>feat/render-library-sections</t>
        </is>
      </c>
      <c r="H2066" t="inlineStr">
        <is>
          <t>sprint-17</t>
        </is>
      </c>
      <c r="I2066" t="inlineStr">
        <is>
          <t>merged</t>
        </is>
      </c>
      <c r="J2066" t="inlineStr">
        <is>
          <t>522cc111bf05ec19ab677b7f1993a5e8233937e0</t>
        </is>
      </c>
      <c r="K2066">
        <f>HYPERLINK("http://gitlab.osmosys.co/incident-reporter/incident-reporter-app/-/merge_requests/1750#note_234650", "it is aligned according to prettier format, it might be looking weird in gitlab ide, check the below SS
![Screenshot_2025-07-10_at_11.43.07_PM](/uploads/e7ff0c31329189a2228a3cb37f6e91d6/Screenshot_2025-07-10_at_11.43.07_PM.png)")</f>
        <v/>
      </c>
      <c r="L2066" t="inlineStr">
        <is>
          <t>2025-07-10 23:43:37.076 IST</t>
        </is>
      </c>
      <c r="M2066" t="inlineStr">
        <is>
          <t>Hitesh Kandpal</t>
        </is>
      </c>
      <c r="N2066" t="inlineStr">
        <is>
          <t>No</t>
        </is>
      </c>
      <c r="O2066" t="inlineStr">
        <is>
          <t>Yes</t>
        </is>
      </c>
      <c r="P2066" t="inlineStr">
        <is>
          <t>Sameer Shaik</t>
        </is>
      </c>
      <c r="Q2066" t="inlineStr">
        <is>
          <t>Neutral</t>
        </is>
      </c>
    </row>
    <row r="2067">
      <c r="A2067" t="inlineStr">
        <is>
          <t>hitesh.k</t>
        </is>
      </c>
      <c r="B2067" t="inlineStr">
        <is>
          <t>Hitesh Kandpal</t>
        </is>
      </c>
      <c r="C2067" t="inlineStr">
        <is>
          <t>hitesh.k@osmosys.co</t>
        </is>
      </c>
      <c r="D2067" t="inlineStr">
        <is>
          <t>incident-reporter</t>
        </is>
      </c>
      <c r="E2067">
        <f>HYPERLINK("http://gitlab.osmosys.co/incident-reporter/incident-reporter-app", "OQSHA Mobile App")</f>
        <v/>
      </c>
      <c r="F2067">
        <f>HYPERLINK("http://gitlab.osmosys.co/incident-reporter/incident-reporter-app/-/merge_requests/1750", "feat: render independent checks and sections in online library document")</f>
        <v/>
      </c>
      <c r="G2067" t="inlineStr">
        <is>
          <t>feat/render-library-sections</t>
        </is>
      </c>
      <c r="H2067" t="inlineStr">
        <is>
          <t>sprint-17</t>
        </is>
      </c>
      <c r="I2067" t="inlineStr">
        <is>
          <t>merged</t>
        </is>
      </c>
      <c r="J2067" t="inlineStr">
        <is>
          <t>2eea7584122fe09c18ff755aa0cc7e9e76bf1d19</t>
        </is>
      </c>
      <c r="K2067">
        <f>HYPERLINK("http://gitlab.osmosys.co/incident-reporter/incident-reporter-app/-/merge_requests/1750#note_234616", "It should be `let category of categoriesList`. The item in this loop is a singular item.")</f>
        <v/>
      </c>
      <c r="L2067" t="inlineStr">
        <is>
          <t>2025-07-10 23:37:43.240 IST</t>
        </is>
      </c>
      <c r="M2067" t="inlineStr">
        <is>
          <t>Sameer Shaik</t>
        </is>
      </c>
      <c r="N2067" t="inlineStr">
        <is>
          <t>Yes</t>
        </is>
      </c>
      <c r="O2067" t="inlineStr">
        <is>
          <t>Yes</t>
        </is>
      </c>
      <c r="P2067" t="inlineStr">
        <is>
          <t>Soundariya B</t>
        </is>
      </c>
      <c r="Q2067" t="inlineStr">
        <is>
          <t>Bad</t>
        </is>
      </c>
    </row>
    <row r="2068">
      <c r="A2068" t="inlineStr">
        <is>
          <t>hitesh.k</t>
        </is>
      </c>
      <c r="B2068" t="inlineStr">
        <is>
          <t>Hitesh Kandpal</t>
        </is>
      </c>
      <c r="C2068" t="inlineStr">
        <is>
          <t>hitesh.k@osmosys.co</t>
        </is>
      </c>
      <c r="D2068" t="inlineStr">
        <is>
          <t>incident-reporter</t>
        </is>
      </c>
      <c r="E2068">
        <f>HYPERLINK("http://gitlab.osmosys.co/incident-reporter/incident-reporter-app", "OQSHA Mobile App")</f>
        <v/>
      </c>
      <c r="F2068">
        <f>HYPERLINK("http://gitlab.osmosys.co/incident-reporter/incident-reporter-app/-/merge_requests/1750", "feat: render independent checks and sections in online library document")</f>
        <v/>
      </c>
      <c r="G2068" t="inlineStr">
        <is>
          <t>feat/render-library-sections</t>
        </is>
      </c>
      <c r="H2068" t="inlineStr">
        <is>
          <t>sprint-17</t>
        </is>
      </c>
      <c r="I2068" t="inlineStr">
        <is>
          <t>merged</t>
        </is>
      </c>
      <c r="J2068" t="inlineStr">
        <is>
          <t>2eea7584122fe09c18ff755aa0cc7e9e76bf1d19</t>
        </is>
      </c>
      <c r="K2068">
        <f>HYPERLINK("http://gitlab.osmosys.co/incident-reporter/incident-reporter-app/-/merge_requests/1750#note_234651", "updated")</f>
        <v/>
      </c>
      <c r="L2068" t="inlineStr">
        <is>
          <t>2025-07-10 23:45:27.483 IST</t>
        </is>
      </c>
      <c r="M2068" t="inlineStr">
        <is>
          <t>Hitesh Kandpal</t>
        </is>
      </c>
      <c r="N2068" t="inlineStr">
        <is>
          <t>No</t>
        </is>
      </c>
      <c r="O2068" t="inlineStr">
        <is>
          <t>Yes</t>
        </is>
      </c>
      <c r="P2068" t="inlineStr">
        <is>
          <t>Soundariya B</t>
        </is>
      </c>
      <c r="Q2068" t="inlineStr">
        <is>
          <t>Bad</t>
        </is>
      </c>
    </row>
    <row r="2069">
      <c r="A2069" t="inlineStr">
        <is>
          <t>hitesh.k</t>
        </is>
      </c>
      <c r="B2069" t="inlineStr">
        <is>
          <t>Hitesh Kandpal</t>
        </is>
      </c>
      <c r="C2069" t="inlineStr">
        <is>
          <t>hitesh.k@osmosys.co</t>
        </is>
      </c>
      <c r="D2069" t="inlineStr">
        <is>
          <t>incident-reporter</t>
        </is>
      </c>
      <c r="E2069">
        <f>HYPERLINK("http://gitlab.osmosys.co/incident-reporter/incident-reporter-app", "OQSHA Mobile App")</f>
        <v/>
      </c>
      <c r="F2069">
        <f>HYPERLINK("http://gitlab.osmosys.co/incident-reporter/incident-reporter-app/-/merge_requests/1750", "feat: render independent checks and sections in online library document")</f>
        <v/>
      </c>
      <c r="G2069" t="inlineStr">
        <is>
          <t>feat/render-library-sections</t>
        </is>
      </c>
      <c r="H2069" t="inlineStr">
        <is>
          <t>sprint-17</t>
        </is>
      </c>
      <c r="I2069" t="inlineStr">
        <is>
          <t>merged</t>
        </is>
      </c>
      <c r="J2069" t="inlineStr">
        <is>
          <t>97e8301d10bfb17bafdda92bcf07901bd9f7a15c</t>
        </is>
      </c>
      <c r="K2069">
        <f>HYPERLINK("http://gitlab.osmosys.co/incident-reporter/incident-reporter-app/-/merge_requests/1750#note_234617", "Is this confirmed to be a required field in the form?")</f>
        <v/>
      </c>
      <c r="L2069" t="inlineStr">
        <is>
          <t>2025-07-10 23:37:43.297 IST</t>
        </is>
      </c>
      <c r="M2069" t="inlineStr">
        <is>
          <t>Sameer Shaik</t>
        </is>
      </c>
      <c r="N2069" t="inlineStr">
        <is>
          <t>Yes</t>
        </is>
      </c>
      <c r="O2069" t="inlineStr">
        <is>
          <t>Yes</t>
        </is>
      </c>
      <c r="P2069" t="inlineStr">
        <is>
          <t>Sameer Shaik</t>
        </is>
      </c>
      <c r="Q2069" t="inlineStr">
        <is>
          <t>Neutral</t>
        </is>
      </c>
    </row>
    <row r="2070">
      <c r="A2070" t="inlineStr">
        <is>
          <t>hitesh.k</t>
        </is>
      </c>
      <c r="B2070" t="inlineStr">
        <is>
          <t>Hitesh Kandpal</t>
        </is>
      </c>
      <c r="C2070" t="inlineStr">
        <is>
          <t>hitesh.k@osmosys.co</t>
        </is>
      </c>
      <c r="D2070" t="inlineStr">
        <is>
          <t>incident-reporter</t>
        </is>
      </c>
      <c r="E2070">
        <f>HYPERLINK("http://gitlab.osmosys.co/incident-reporter/incident-reporter-app", "OQSHA Mobile App")</f>
        <v/>
      </c>
      <c r="F2070">
        <f>HYPERLINK("http://gitlab.osmosys.co/incident-reporter/incident-reporter-app/-/merge_requests/1750", "feat: render independent checks and sections in online library document")</f>
        <v/>
      </c>
      <c r="G2070" t="inlineStr">
        <is>
          <t>feat/render-library-sections</t>
        </is>
      </c>
      <c r="H2070" t="inlineStr">
        <is>
          <t>sprint-17</t>
        </is>
      </c>
      <c r="I2070" t="inlineStr">
        <is>
          <t>merged</t>
        </is>
      </c>
      <c r="J2070" t="inlineStr">
        <is>
          <t>97e8301d10bfb17bafdda92bcf07901bd9f7a15c</t>
        </is>
      </c>
      <c r="K2070">
        <f>HYPERLINK("http://gitlab.osmosys.co/incident-reporter/incident-reporter-app/-/merge_requests/1750#note_234652", "yes, in portal it's a required field too")</f>
        <v/>
      </c>
      <c r="L2070" t="inlineStr">
        <is>
          <t>2025-07-10 23:45:58.777 IST</t>
        </is>
      </c>
      <c r="M2070" t="inlineStr">
        <is>
          <t>Hitesh Kandpal</t>
        </is>
      </c>
      <c r="N2070" t="inlineStr">
        <is>
          <t>No</t>
        </is>
      </c>
      <c r="O2070" t="inlineStr">
        <is>
          <t>Yes</t>
        </is>
      </c>
      <c r="P2070" t="inlineStr">
        <is>
          <t>Sameer Shaik</t>
        </is>
      </c>
      <c r="Q2070" t="inlineStr">
        <is>
          <t>Neutral</t>
        </is>
      </c>
    </row>
    <row r="2071">
      <c r="A2071" t="inlineStr">
        <is>
          <t>hitesh.k</t>
        </is>
      </c>
      <c r="B2071" t="inlineStr">
        <is>
          <t>Hitesh Kandpal</t>
        </is>
      </c>
      <c r="C2071" t="inlineStr">
        <is>
          <t>hitesh.k@osmosys.co</t>
        </is>
      </c>
      <c r="D2071" t="inlineStr">
        <is>
          <t>incident-reporter</t>
        </is>
      </c>
      <c r="E2071">
        <f>HYPERLINK("http://gitlab.osmosys.co/incident-reporter/incident-reporter-app", "OQSHA Mobile App")</f>
        <v/>
      </c>
      <c r="F2071">
        <f>HYPERLINK("http://gitlab.osmosys.co/incident-reporter/incident-reporter-app/-/merge_requests/1750", "feat: render independent checks and sections in online library document")</f>
        <v/>
      </c>
      <c r="G2071" t="inlineStr">
        <is>
          <t>feat/render-library-sections</t>
        </is>
      </c>
      <c r="H2071" t="inlineStr">
        <is>
          <t>sprint-17</t>
        </is>
      </c>
      <c r="I2071" t="inlineStr">
        <is>
          <t>merged</t>
        </is>
      </c>
      <c r="J2071" t="inlineStr">
        <is>
          <t>6c3b4f89fbeb7dcd368d52d5d3acd6849d94d6e3</t>
        </is>
      </c>
      <c r="K2071">
        <f>HYPERLINK("http://gitlab.osmosys.co/incident-reporter/incident-reporter-app/-/merge_requests/1750#note_234618", "The formatting is off in many many places? Are you not using the designated formatting tool on your IDE?")</f>
        <v/>
      </c>
      <c r="L2071" t="inlineStr">
        <is>
          <t>2025-07-10 23:37:43.353 IST</t>
        </is>
      </c>
      <c r="M2071" t="inlineStr">
        <is>
          <t>Sameer Shaik</t>
        </is>
      </c>
      <c r="N2071" t="inlineStr">
        <is>
          <t>Yes</t>
        </is>
      </c>
      <c r="O2071" t="inlineStr">
        <is>
          <t>Yes</t>
        </is>
      </c>
      <c r="P2071" t="inlineStr">
        <is>
          <t>Sameer Shaik</t>
        </is>
      </c>
      <c r="Q2071" t="inlineStr">
        <is>
          <t>Neutral</t>
        </is>
      </c>
    </row>
    <row r="2072">
      <c r="A2072" t="inlineStr">
        <is>
          <t>hitesh.k</t>
        </is>
      </c>
      <c r="B2072" t="inlineStr">
        <is>
          <t>Hitesh Kandpal</t>
        </is>
      </c>
      <c r="C2072" t="inlineStr">
        <is>
          <t>hitesh.k@osmosys.co</t>
        </is>
      </c>
      <c r="D2072" t="inlineStr">
        <is>
          <t>incident-reporter</t>
        </is>
      </c>
      <c r="E2072">
        <f>HYPERLINK("http://gitlab.osmosys.co/incident-reporter/incident-reporter-app", "OQSHA Mobile App")</f>
        <v/>
      </c>
      <c r="F2072">
        <f>HYPERLINK("http://gitlab.osmosys.co/incident-reporter/incident-reporter-app/-/merge_requests/1750", "feat: render independent checks and sections in online library document")</f>
        <v/>
      </c>
      <c r="G2072" t="inlineStr">
        <is>
          <t>feat/render-library-sections</t>
        </is>
      </c>
      <c r="H2072" t="inlineStr">
        <is>
          <t>sprint-17</t>
        </is>
      </c>
      <c r="I2072" t="inlineStr">
        <is>
          <t>merged</t>
        </is>
      </c>
      <c r="J2072" t="inlineStr">
        <is>
          <t>6c3b4f89fbeb7dcd368d52d5d3acd6849d94d6e3</t>
        </is>
      </c>
      <c r="K2072">
        <f>HYPERLINK("http://gitlab.osmosys.co/incident-reporter/incident-reporter-app/-/merge_requests/1750#note_234654", "i am, and it it correctly format, maybe in gitlab you are seeing it in weird format
check below ss all &lt;ion-col&gt; are in same line
![Screenshot_2025-07-10_at_11.46.52_PM](/uploads/b69fa329d9111553a442796fc5951cb6/Screenshot_2025-07-10_at_11.46.52_PM.png)")</f>
        <v/>
      </c>
      <c r="L2072" t="inlineStr">
        <is>
          <t>2025-07-10 23:47:36.645 IST</t>
        </is>
      </c>
      <c r="M2072" t="inlineStr">
        <is>
          <t>Hitesh Kandpal</t>
        </is>
      </c>
      <c r="N2072" t="inlineStr">
        <is>
          <t>No</t>
        </is>
      </c>
      <c r="O2072" t="inlineStr">
        <is>
          <t>Yes</t>
        </is>
      </c>
      <c r="P2072" t="inlineStr">
        <is>
          <t>Sameer Shaik</t>
        </is>
      </c>
      <c r="Q2072" t="inlineStr">
        <is>
          <t>Neutral</t>
        </is>
      </c>
    </row>
    <row r="2073">
      <c r="A2073" t="inlineStr">
        <is>
          <t>hitesh.k</t>
        </is>
      </c>
      <c r="B2073" t="inlineStr">
        <is>
          <t>Hitesh Kandpal</t>
        </is>
      </c>
      <c r="C2073" t="inlineStr">
        <is>
          <t>hitesh.k@osmosys.co</t>
        </is>
      </c>
      <c r="D2073" t="inlineStr">
        <is>
          <t>incident-reporter</t>
        </is>
      </c>
      <c r="E2073">
        <f>HYPERLINK("http://gitlab.osmosys.co/incident-reporter/incident-reporter-app", "OQSHA Mobile App")</f>
        <v/>
      </c>
      <c r="F2073">
        <f>HYPERLINK("http://gitlab.osmosys.co/incident-reporter/incident-reporter-app/-/merge_requests/1750", "feat: render independent checks and sections in online library document")</f>
        <v/>
      </c>
      <c r="G2073" t="inlineStr">
        <is>
          <t>feat/render-library-sections</t>
        </is>
      </c>
      <c r="H2073" t="inlineStr">
        <is>
          <t>sprint-17</t>
        </is>
      </c>
      <c r="I2073" t="inlineStr">
        <is>
          <t>merged</t>
        </is>
      </c>
      <c r="J2073" t="inlineStr">
        <is>
          <t>440fe5673ae43c57c406d1d7f83fa8c928b957fa</t>
        </is>
      </c>
      <c r="K2073">
        <f>HYPERLINK("http://gitlab.osmosys.co/incident-reporter/incident-reporter-app/-/merge_requests/1750#note_234619", "`addlibrary` should be camel cased. `addLibrary`. Also, what kind of a name is it? It is a property of a class/interface. But the naming is like a function.")</f>
        <v/>
      </c>
      <c r="L2073" t="inlineStr">
        <is>
          <t>2025-07-10 23:37:43.437 IST</t>
        </is>
      </c>
      <c r="M2073" t="inlineStr">
        <is>
          <t>Sameer Shaik</t>
        </is>
      </c>
      <c r="N2073" t="inlineStr">
        <is>
          <t>Yes</t>
        </is>
      </c>
      <c r="O2073" t="inlineStr">
        <is>
          <t>Yes</t>
        </is>
      </c>
      <c r="P2073" t="inlineStr">
        <is>
          <t>Sameer Shaik</t>
        </is>
      </c>
      <c r="Q2073" t="inlineStr">
        <is>
          <t>Bad</t>
        </is>
      </c>
    </row>
    <row r="2074">
      <c r="A2074" t="inlineStr">
        <is>
          <t>hitesh.k</t>
        </is>
      </c>
      <c r="B2074" t="inlineStr">
        <is>
          <t>Hitesh Kandpal</t>
        </is>
      </c>
      <c r="C2074" t="inlineStr">
        <is>
          <t>hitesh.k@osmosys.co</t>
        </is>
      </c>
      <c r="D2074" t="inlineStr">
        <is>
          <t>incident-reporter</t>
        </is>
      </c>
      <c r="E2074">
        <f>HYPERLINK("http://gitlab.osmosys.co/incident-reporter/incident-reporter-app", "OQSHA Mobile App")</f>
        <v/>
      </c>
      <c r="F2074">
        <f>HYPERLINK("http://gitlab.osmosys.co/incident-reporter/incident-reporter-app/-/merge_requests/1750", "feat: render independent checks and sections in online library document")</f>
        <v/>
      </c>
      <c r="G2074" t="inlineStr">
        <is>
          <t>feat/render-library-sections</t>
        </is>
      </c>
      <c r="H2074" t="inlineStr">
        <is>
          <t>sprint-17</t>
        </is>
      </c>
      <c r="I2074" t="inlineStr">
        <is>
          <t>merged</t>
        </is>
      </c>
      <c r="J2074" t="inlineStr">
        <is>
          <t>440fe5673ae43c57c406d1d7f83fa8c928b957fa</t>
        </is>
      </c>
      <c r="K2074">
        <f>HYPERLINK("http://gitlab.osmosys.co/incident-reporter/incident-reporter-app/-/merge_requests/1750#note_234659", "fixed it, it was a variable used for add library page language translation")</f>
        <v/>
      </c>
      <c r="L2074" t="inlineStr">
        <is>
          <t>2025-07-10 23:50:40.358 IST</t>
        </is>
      </c>
      <c r="M2074" t="inlineStr">
        <is>
          <t>Hitesh Kandpal</t>
        </is>
      </c>
      <c r="N2074" t="inlineStr">
        <is>
          <t>No</t>
        </is>
      </c>
      <c r="O2074" t="inlineStr">
        <is>
          <t>Yes</t>
        </is>
      </c>
      <c r="P2074" t="inlineStr">
        <is>
          <t>Sameer Shaik</t>
        </is>
      </c>
      <c r="Q2074" t="inlineStr">
        <is>
          <t>Bad</t>
        </is>
      </c>
    </row>
    <row r="2075">
      <c r="A2075" t="inlineStr">
        <is>
          <t>hitesh.k</t>
        </is>
      </c>
      <c r="B2075" t="inlineStr">
        <is>
          <t>Hitesh Kandpal</t>
        </is>
      </c>
      <c r="C2075" t="inlineStr">
        <is>
          <t>hitesh.k@osmosys.co</t>
        </is>
      </c>
      <c r="D2075" t="inlineStr">
        <is>
          <t>incident-reporter</t>
        </is>
      </c>
      <c r="E2075">
        <f>HYPERLINK("http://gitlab.osmosys.co/incident-reporter/incident-reporter-app", "OQSHA Mobile App")</f>
        <v/>
      </c>
      <c r="F2075">
        <f>HYPERLINK("http://gitlab.osmosys.co/incident-reporter/incident-reporter-app/-/merge_requests/1750", "feat: render independent checks and sections in online library document")</f>
        <v/>
      </c>
      <c r="G2075" t="inlineStr">
        <is>
          <t>feat/render-library-sections</t>
        </is>
      </c>
      <c r="H2075" t="inlineStr">
        <is>
          <t>sprint-17</t>
        </is>
      </c>
      <c r="I2075" t="inlineStr">
        <is>
          <t>merged</t>
        </is>
      </c>
      <c r="J2075" t="inlineStr">
        <is>
          <t>6fb52877687e48ce233bbc16ed058d22aff1d7e4</t>
        </is>
      </c>
      <c r="K2075">
        <f>HYPERLINK("http://gitlab.osmosys.co/incident-reporter/incident-reporter-app/-/merge_requests/1750#note_234620", "`alt` value is not good enough. The text should be meaningful.")</f>
        <v/>
      </c>
      <c r="L2075" t="inlineStr">
        <is>
          <t>2025-07-10 23:37:43.500 IST</t>
        </is>
      </c>
      <c r="M2075" t="inlineStr">
        <is>
          <t>Sameer Shaik</t>
        </is>
      </c>
      <c r="N2075" t="inlineStr">
        <is>
          <t>Yes</t>
        </is>
      </c>
      <c r="O2075" t="inlineStr">
        <is>
          <t>Yes</t>
        </is>
      </c>
      <c r="P2075" t="inlineStr">
        <is>
          <t>Sameer Shaik</t>
        </is>
      </c>
      <c r="Q2075" t="inlineStr">
        <is>
          <t>Bad</t>
        </is>
      </c>
    </row>
    <row r="2076">
      <c r="A2076" t="inlineStr">
        <is>
          <t>hitesh.k</t>
        </is>
      </c>
      <c r="B2076" t="inlineStr">
        <is>
          <t>Hitesh Kandpal</t>
        </is>
      </c>
      <c r="C2076" t="inlineStr">
        <is>
          <t>hitesh.k@osmosys.co</t>
        </is>
      </c>
      <c r="D2076" t="inlineStr">
        <is>
          <t>incident-reporter</t>
        </is>
      </c>
      <c r="E2076">
        <f>HYPERLINK("http://gitlab.osmosys.co/incident-reporter/incident-reporter-app", "OQSHA Mobile App")</f>
        <v/>
      </c>
      <c r="F2076">
        <f>HYPERLINK("http://gitlab.osmosys.co/incident-reporter/incident-reporter-app/-/merge_requests/1750", "feat: render independent checks and sections in online library document")</f>
        <v/>
      </c>
      <c r="G2076" t="inlineStr">
        <is>
          <t>feat/render-library-sections</t>
        </is>
      </c>
      <c r="H2076" t="inlineStr">
        <is>
          <t>sprint-17</t>
        </is>
      </c>
      <c r="I2076" t="inlineStr">
        <is>
          <t>merged</t>
        </is>
      </c>
      <c r="J2076" t="inlineStr">
        <is>
          <t>6fb52877687e48ce233bbc16ed058d22aff1d7e4</t>
        </is>
      </c>
      <c r="K2076">
        <f>HYPERLINK("http://gitlab.osmosys.co/incident-reporter/incident-reporter-app/-/merge_requests/1750#note_234663", "fixed it")</f>
        <v/>
      </c>
      <c r="L2076" t="inlineStr">
        <is>
          <t>2025-07-10 23:51:20.173 IST</t>
        </is>
      </c>
      <c r="M2076" t="inlineStr">
        <is>
          <t>Hitesh Kandpal</t>
        </is>
      </c>
      <c r="N2076" t="inlineStr">
        <is>
          <t>No</t>
        </is>
      </c>
      <c r="O2076" t="inlineStr">
        <is>
          <t>Yes</t>
        </is>
      </c>
      <c r="P2076" t="inlineStr">
        <is>
          <t>Sameer Shaik</t>
        </is>
      </c>
      <c r="Q2076" t="inlineStr">
        <is>
          <t>Bad</t>
        </is>
      </c>
    </row>
    <row r="2077">
      <c r="A2077" t="inlineStr">
        <is>
          <t>hitesh.k</t>
        </is>
      </c>
      <c r="B2077" t="inlineStr">
        <is>
          <t>Hitesh Kandpal</t>
        </is>
      </c>
      <c r="C2077" t="inlineStr">
        <is>
          <t>hitesh.k@osmosys.co</t>
        </is>
      </c>
      <c r="D2077" t="inlineStr">
        <is>
          <t>incident-reporter</t>
        </is>
      </c>
      <c r="E2077">
        <f>HYPERLINK("http://gitlab.osmosys.co/incident-reporter/incident-reporter-app", "OQSHA Mobile App")</f>
        <v/>
      </c>
      <c r="F2077">
        <f>HYPERLINK("http://gitlab.osmosys.co/incident-reporter/incident-reporter-app/-/merge_requests/1750", "feat: render independent checks and sections in online library document")</f>
        <v/>
      </c>
      <c r="G2077" t="inlineStr">
        <is>
          <t>feat/render-library-sections</t>
        </is>
      </c>
      <c r="H2077" t="inlineStr">
        <is>
          <t>sprint-17</t>
        </is>
      </c>
      <c r="I2077" t="inlineStr">
        <is>
          <t>merged</t>
        </is>
      </c>
      <c r="J2077" t="inlineStr">
        <is>
          <t>1bd5e2ba13a4dfb3f270acce79747bcfeda051e7</t>
        </is>
      </c>
      <c r="K2077">
        <f>HYPERLINK("http://gitlab.osmosys.co/incident-reporter/incident-reporter-app/-/merge_requests/1750#note_234621", "`libraryMediaData.length` in an `ngIf` can be written as `libraryMediaData.length &gt; 0` for improved readability.")</f>
        <v/>
      </c>
      <c r="L2077" t="inlineStr">
        <is>
          <t>2025-07-10 23:37:43.576 IST</t>
        </is>
      </c>
      <c r="M2077" t="inlineStr">
        <is>
          <t>Sameer Shaik</t>
        </is>
      </c>
      <c r="N2077" t="inlineStr">
        <is>
          <t>Yes</t>
        </is>
      </c>
      <c r="O2077" t="inlineStr">
        <is>
          <t>Yes</t>
        </is>
      </c>
      <c r="P2077" t="inlineStr">
        <is>
          <t>Sameer Shaik</t>
        </is>
      </c>
      <c r="Q2077" t="inlineStr">
        <is>
          <t>Bad</t>
        </is>
      </c>
    </row>
    <row r="2078">
      <c r="A2078" t="inlineStr">
        <is>
          <t>hitesh.k</t>
        </is>
      </c>
      <c r="B2078" t="inlineStr">
        <is>
          <t>Hitesh Kandpal</t>
        </is>
      </c>
      <c r="C2078" t="inlineStr">
        <is>
          <t>hitesh.k@osmosys.co</t>
        </is>
      </c>
      <c r="D2078" t="inlineStr">
        <is>
          <t>incident-reporter</t>
        </is>
      </c>
      <c r="E2078">
        <f>HYPERLINK("http://gitlab.osmosys.co/incident-reporter/incident-reporter-app", "OQSHA Mobile App")</f>
        <v/>
      </c>
      <c r="F2078">
        <f>HYPERLINK("http://gitlab.osmosys.co/incident-reporter/incident-reporter-app/-/merge_requests/1750", "feat: render independent checks and sections in online library document")</f>
        <v/>
      </c>
      <c r="G2078" t="inlineStr">
        <is>
          <t>feat/render-library-sections</t>
        </is>
      </c>
      <c r="H2078" t="inlineStr">
        <is>
          <t>sprint-17</t>
        </is>
      </c>
      <c r="I2078" t="inlineStr">
        <is>
          <t>merged</t>
        </is>
      </c>
      <c r="J2078" t="inlineStr">
        <is>
          <t>1bd5e2ba13a4dfb3f270acce79747bcfeda051e7</t>
        </is>
      </c>
      <c r="K2078">
        <f>HYPERLINK("http://gitlab.osmosys.co/incident-reporter/incident-reporter-app/-/merge_requests/1750#note_234664", "updated it")</f>
        <v/>
      </c>
      <c r="L2078" t="inlineStr">
        <is>
          <t>2025-07-10 23:51:51.566 IST</t>
        </is>
      </c>
      <c r="M2078" t="inlineStr">
        <is>
          <t>Hitesh Kandpal</t>
        </is>
      </c>
      <c r="N2078" t="inlineStr">
        <is>
          <t>No</t>
        </is>
      </c>
      <c r="O2078" t="inlineStr">
        <is>
          <t>Yes</t>
        </is>
      </c>
      <c r="P2078" t="inlineStr">
        <is>
          <t>Sameer Shaik</t>
        </is>
      </c>
      <c r="Q2078" t="inlineStr">
        <is>
          <t>Bad</t>
        </is>
      </c>
    </row>
    <row r="2079">
      <c r="A2079" t="inlineStr">
        <is>
          <t>hitesh.k</t>
        </is>
      </c>
      <c r="B2079" t="inlineStr">
        <is>
          <t>Hitesh Kandpal</t>
        </is>
      </c>
      <c r="C2079" t="inlineStr">
        <is>
          <t>hitesh.k@osmosys.co</t>
        </is>
      </c>
      <c r="D2079" t="inlineStr">
        <is>
          <t>incident-reporter</t>
        </is>
      </c>
      <c r="E2079">
        <f>HYPERLINK("http://gitlab.osmosys.co/incident-reporter/incident-reporter-app", "OQSHA Mobile App")</f>
        <v/>
      </c>
      <c r="F2079">
        <f>HYPERLINK("http://gitlab.osmosys.co/incident-reporter/incident-reporter-app/-/merge_requests/1750", "feat: render independent checks and sections in online library document")</f>
        <v/>
      </c>
      <c r="G2079" t="inlineStr">
        <is>
          <t>feat/render-library-sections</t>
        </is>
      </c>
      <c r="H2079" t="inlineStr">
        <is>
          <t>sprint-17</t>
        </is>
      </c>
      <c r="I2079" t="inlineStr">
        <is>
          <t>merged</t>
        </is>
      </c>
      <c r="J2079" t="inlineStr">
        <is>
          <t>7c7409356327d0d3112c11582f207e6260cf3809</t>
        </is>
      </c>
      <c r="K2079">
        <f>HYPERLINK("http://gitlab.osmosys.co/incident-reporter/incident-reporter-app/-/merge_requests/1750#note_234622", "Not a good alt again. Fix it in all the places.")</f>
        <v/>
      </c>
      <c r="L2079" t="inlineStr">
        <is>
          <t>2025-07-10 23:37:43.649 IST</t>
        </is>
      </c>
      <c r="M2079" t="inlineStr">
        <is>
          <t>Sameer Shaik</t>
        </is>
      </c>
      <c r="N2079" t="inlineStr">
        <is>
          <t>Yes</t>
        </is>
      </c>
      <c r="O2079" t="inlineStr">
        <is>
          <t>Yes</t>
        </is>
      </c>
      <c r="P2079" t="inlineStr">
        <is>
          <t>Sameer Shaik</t>
        </is>
      </c>
      <c r="Q2079" t="inlineStr">
        <is>
          <t>Bad</t>
        </is>
      </c>
    </row>
    <row r="2080">
      <c r="A2080" t="inlineStr">
        <is>
          <t>hitesh.k</t>
        </is>
      </c>
      <c r="B2080" t="inlineStr">
        <is>
          <t>Hitesh Kandpal</t>
        </is>
      </c>
      <c r="C2080" t="inlineStr">
        <is>
          <t>hitesh.k@osmosys.co</t>
        </is>
      </c>
      <c r="D2080" t="inlineStr">
        <is>
          <t>incident-reporter</t>
        </is>
      </c>
      <c r="E2080">
        <f>HYPERLINK("http://gitlab.osmosys.co/incident-reporter/incident-reporter-app", "OQSHA Mobile App")</f>
        <v/>
      </c>
      <c r="F2080">
        <f>HYPERLINK("http://gitlab.osmosys.co/incident-reporter/incident-reporter-app/-/merge_requests/1750", "feat: render independent checks and sections in online library document")</f>
        <v/>
      </c>
      <c r="G2080" t="inlineStr">
        <is>
          <t>feat/render-library-sections</t>
        </is>
      </c>
      <c r="H2080" t="inlineStr">
        <is>
          <t>sprint-17</t>
        </is>
      </c>
      <c r="I2080" t="inlineStr">
        <is>
          <t>merged</t>
        </is>
      </c>
      <c r="J2080" t="inlineStr">
        <is>
          <t>7c7409356327d0d3112c11582f207e6260cf3809</t>
        </is>
      </c>
      <c r="K2080">
        <f>HYPERLINK("http://gitlab.osmosys.co/incident-reporter/incident-reporter-app/-/merge_requests/1750#note_234668", "fixed it in all places")</f>
        <v/>
      </c>
      <c r="L2080" t="inlineStr">
        <is>
          <t>2025-07-10 23:53:29.841 IST</t>
        </is>
      </c>
      <c r="M2080" t="inlineStr">
        <is>
          <t>Hitesh Kandpal</t>
        </is>
      </c>
      <c r="N2080" t="inlineStr">
        <is>
          <t>No</t>
        </is>
      </c>
      <c r="O2080" t="inlineStr">
        <is>
          <t>Yes</t>
        </is>
      </c>
      <c r="P2080" t="inlineStr">
        <is>
          <t>Sameer Shaik</t>
        </is>
      </c>
      <c r="Q2080" t="inlineStr">
        <is>
          <t>Bad</t>
        </is>
      </c>
    </row>
    <row r="2081">
      <c r="A2081" t="inlineStr">
        <is>
          <t>hitesh.k</t>
        </is>
      </c>
      <c r="B2081" t="inlineStr">
        <is>
          <t>Hitesh Kandpal</t>
        </is>
      </c>
      <c r="C2081" t="inlineStr">
        <is>
          <t>hitesh.k@osmosys.co</t>
        </is>
      </c>
      <c r="D2081" t="inlineStr">
        <is>
          <t>incident-reporter</t>
        </is>
      </c>
      <c r="E2081">
        <f>HYPERLINK("http://gitlab.osmosys.co/incident-reporter/incident-reporter-app", "OQSHA Mobile App")</f>
        <v/>
      </c>
      <c r="F2081">
        <f>HYPERLINK("http://gitlab.osmosys.co/incident-reporter/incident-reporter-app/-/merge_requests/1750", "feat: render independent checks and sections in online library document")</f>
        <v/>
      </c>
      <c r="G2081" t="inlineStr">
        <is>
          <t>feat/render-library-sections</t>
        </is>
      </c>
      <c r="H2081" t="inlineStr">
        <is>
          <t>sprint-17</t>
        </is>
      </c>
      <c r="I2081" t="inlineStr">
        <is>
          <t>merged</t>
        </is>
      </c>
      <c r="J2081" t="inlineStr">
        <is>
          <t>aa37764a2ad1882cab0de462142eceede1908729</t>
        </is>
      </c>
      <c r="K2081">
        <f>HYPERLINK("http://gitlab.osmosys.co/incident-reporter/incident-reporter-app/-/merge_requests/1750#note_234623", "Why do you need `ngClass` visible check? You have already written *ngIf which I believe will not render the element if the condition is not satisfied?")</f>
        <v/>
      </c>
      <c r="L2081" t="inlineStr">
        <is>
          <t>2025-07-10 23:37:43.707 IST</t>
        </is>
      </c>
      <c r="M2081" t="inlineStr">
        <is>
          <t>Sameer Shaik</t>
        </is>
      </c>
      <c r="N2081" t="inlineStr">
        <is>
          <t>Yes</t>
        </is>
      </c>
      <c r="O2081" t="inlineStr">
        <is>
          <t>Yes</t>
        </is>
      </c>
      <c r="P2081" t="inlineStr">
        <is>
          <t>Sameer Shaik</t>
        </is>
      </c>
      <c r="Q2081" t="inlineStr">
        <is>
          <t>Bad</t>
        </is>
      </c>
    </row>
    <row r="2082">
      <c r="A2082" t="inlineStr">
        <is>
          <t>hitesh.k</t>
        </is>
      </c>
      <c r="B2082" t="inlineStr">
        <is>
          <t>Hitesh Kandpal</t>
        </is>
      </c>
      <c r="C2082" t="inlineStr">
        <is>
          <t>hitesh.k@osmosys.co</t>
        </is>
      </c>
      <c r="D2082" t="inlineStr">
        <is>
          <t>incident-reporter</t>
        </is>
      </c>
      <c r="E2082">
        <f>HYPERLINK("http://gitlab.osmosys.co/incident-reporter/incident-reporter-app", "OQSHA Mobile App")</f>
        <v/>
      </c>
      <c r="F2082">
        <f>HYPERLINK("http://gitlab.osmosys.co/incident-reporter/incident-reporter-app/-/merge_requests/1750", "feat: render independent checks and sections in online library document")</f>
        <v/>
      </c>
      <c r="G2082" t="inlineStr">
        <is>
          <t>feat/render-library-sections</t>
        </is>
      </c>
      <c r="H2082" t="inlineStr">
        <is>
          <t>sprint-17</t>
        </is>
      </c>
      <c r="I2082" t="inlineStr">
        <is>
          <t>merged</t>
        </is>
      </c>
      <c r="J2082" t="inlineStr">
        <is>
          <t>aa37764a2ad1882cab0de462142eceede1908729</t>
        </is>
      </c>
      <c r="K2082">
        <f>HYPERLINK("http://gitlab.osmosys.co/incident-reporter/incident-reporter-app/-/merge_requests/1750#note_234671", "removed ng class")</f>
        <v/>
      </c>
      <c r="L2082" t="inlineStr">
        <is>
          <t>2025-07-10 23:56:57.382 IST</t>
        </is>
      </c>
      <c r="M2082" t="inlineStr">
        <is>
          <t>Hitesh Kandpal</t>
        </is>
      </c>
      <c r="N2082" t="inlineStr">
        <is>
          <t>No</t>
        </is>
      </c>
      <c r="O2082" t="inlineStr">
        <is>
          <t>Yes</t>
        </is>
      </c>
      <c r="P2082" t="inlineStr">
        <is>
          <t>Sameer Shaik</t>
        </is>
      </c>
      <c r="Q2082" t="inlineStr">
        <is>
          <t>Bad</t>
        </is>
      </c>
    </row>
    <row r="2083">
      <c r="A2083" t="inlineStr">
        <is>
          <t>hitesh.k</t>
        </is>
      </c>
      <c r="B2083" t="inlineStr">
        <is>
          <t>Hitesh Kandpal</t>
        </is>
      </c>
      <c r="C2083" t="inlineStr">
        <is>
          <t>hitesh.k@osmosys.co</t>
        </is>
      </c>
      <c r="D2083" t="inlineStr">
        <is>
          <t>incident-reporter</t>
        </is>
      </c>
      <c r="E2083">
        <f>HYPERLINK("http://gitlab.osmosys.co/incident-reporter/incident-reporter-app", "OQSHA Mobile App")</f>
        <v/>
      </c>
      <c r="F2083">
        <f>HYPERLINK("http://gitlab.osmosys.co/incident-reporter/incident-reporter-app/-/merge_requests/1750", "feat: render independent checks and sections in online library document")</f>
        <v/>
      </c>
      <c r="G2083" t="inlineStr">
        <is>
          <t>feat/render-library-sections</t>
        </is>
      </c>
      <c r="H2083" t="inlineStr">
        <is>
          <t>sprint-17</t>
        </is>
      </c>
      <c r="I2083" t="inlineStr">
        <is>
          <t>merged</t>
        </is>
      </c>
      <c r="J2083" t="inlineStr">
        <is>
          <t>53412af269fa79029d7f61efe2286d75d7ed0626</t>
        </is>
      </c>
      <c r="K2083">
        <f>HYPERLINK("http://gitlab.osmosys.co/incident-reporter/incident-reporter-app/-/merge_requests/1750#note_234624", "Is this button's style consistent as the other buttons in the app? Don't we have a shared CSS across all the components that can be used for consistency?")</f>
        <v/>
      </c>
      <c r="L2083" t="inlineStr">
        <is>
          <t>2025-07-10 23:37:43.786 IST</t>
        </is>
      </c>
      <c r="M2083" t="inlineStr">
        <is>
          <t>Sameer Shaik</t>
        </is>
      </c>
      <c r="N2083" t="inlineStr">
        <is>
          <t>Yes</t>
        </is>
      </c>
      <c r="O2083" t="inlineStr">
        <is>
          <t>Yes</t>
        </is>
      </c>
      <c r="P2083" t="inlineStr">
        <is>
          <t>Raj Kumar</t>
        </is>
      </c>
      <c r="Q2083" t="inlineStr">
        <is>
          <t>Neutral</t>
        </is>
      </c>
    </row>
    <row r="2084">
      <c r="A2084" t="inlineStr">
        <is>
          <t>hitesh.k</t>
        </is>
      </c>
      <c r="B2084" t="inlineStr">
        <is>
          <t>Hitesh Kandpal</t>
        </is>
      </c>
      <c r="C2084" t="inlineStr">
        <is>
          <t>hitesh.k@osmosys.co</t>
        </is>
      </c>
      <c r="D2084" t="inlineStr">
        <is>
          <t>incident-reporter</t>
        </is>
      </c>
      <c r="E2084">
        <f>HYPERLINK("http://gitlab.osmosys.co/incident-reporter/incident-reporter-app", "OQSHA Mobile App")</f>
        <v/>
      </c>
      <c r="F2084">
        <f>HYPERLINK("http://gitlab.osmosys.co/incident-reporter/incident-reporter-app/-/merge_requests/1750", "feat: render independent checks and sections in online library document")</f>
        <v/>
      </c>
      <c r="G2084" t="inlineStr">
        <is>
          <t>feat/render-library-sections</t>
        </is>
      </c>
      <c r="H2084" t="inlineStr">
        <is>
          <t>sprint-17</t>
        </is>
      </c>
      <c r="I2084" t="inlineStr">
        <is>
          <t>merged</t>
        </is>
      </c>
      <c r="J2084" t="inlineStr">
        <is>
          <t>53412af269fa79029d7f61efe2286d75d7ed0626</t>
        </is>
      </c>
      <c r="K2084">
        <f>HYPERLINK("http://gitlab.osmosys.co/incident-reporter/incident-reporter-app/-/merge_requests/1750#note_234683", "Class names are mismatched in the legacy code — in older files, class names like next-btn are used, whereas in some other places btn-next is being used. This styling might unknowingly affect some buttons. Therefore kept this it in component class
In case you're wondering why btn-next is used in newer code while next-btn was used in older code — it's because during PR reviews, reviewers asked us to use btn-next from now on, as that's the correct format for class names.")</f>
        <v/>
      </c>
      <c r="L2084" t="inlineStr">
        <is>
          <t>2025-07-11 00:01:09.475 IST</t>
        </is>
      </c>
      <c r="M2084" t="inlineStr">
        <is>
          <t>Hitesh Kandpal</t>
        </is>
      </c>
      <c r="N2084" t="inlineStr">
        <is>
          <t>No</t>
        </is>
      </c>
      <c r="O2084" t="inlineStr">
        <is>
          <t>Yes</t>
        </is>
      </c>
      <c r="P2084" t="inlineStr">
        <is>
          <t>Raj Kumar</t>
        </is>
      </c>
      <c r="Q2084" t="inlineStr">
        <is>
          <t>Neutral</t>
        </is>
      </c>
    </row>
    <row r="2085">
      <c r="A2085" t="inlineStr">
        <is>
          <t>hitesh.k</t>
        </is>
      </c>
      <c r="B2085" t="inlineStr">
        <is>
          <t>Hitesh Kandpal</t>
        </is>
      </c>
      <c r="C2085" t="inlineStr">
        <is>
          <t>hitesh.k@osmosys.co</t>
        </is>
      </c>
      <c r="D2085" t="inlineStr">
        <is>
          <t>incident-reporter</t>
        </is>
      </c>
      <c r="E2085">
        <f>HYPERLINK("http://gitlab.osmosys.co/incident-reporter/incident-reporter-app", "OQSHA Mobile App")</f>
        <v/>
      </c>
      <c r="F2085">
        <f>HYPERLINK("http://gitlab.osmosys.co/incident-reporter/incident-reporter-app/-/merge_requests/1750", "feat: render independent checks and sections in online library document")</f>
        <v/>
      </c>
      <c r="G2085" t="inlineStr">
        <is>
          <t>feat/render-library-sections</t>
        </is>
      </c>
      <c r="H2085" t="inlineStr">
        <is>
          <t>sprint-17</t>
        </is>
      </c>
      <c r="I2085" t="inlineStr">
        <is>
          <t>merged</t>
        </is>
      </c>
      <c r="J2085" t="inlineStr">
        <is>
          <t>489c9e84164b4a94d65c44ce72521be1e953a849</t>
        </is>
      </c>
      <c r="K2085">
        <f>HYPERLINK("http://gitlab.osmosys.co/incident-reporter/incident-reporter-app/-/merge_requests/1750#note_234625", "What is the meaning of `COMBILE_SECTIONS`. Is Combile a word?")</f>
        <v/>
      </c>
      <c r="L2085" t="inlineStr">
        <is>
          <t>2025-07-10 23:37:43.881 IST</t>
        </is>
      </c>
      <c r="M2085" t="inlineStr">
        <is>
          <t>Sameer Shaik</t>
        </is>
      </c>
      <c r="N2085" t="inlineStr">
        <is>
          <t>Yes</t>
        </is>
      </c>
      <c r="O2085" t="inlineStr">
        <is>
          <t>Yes</t>
        </is>
      </c>
      <c r="P2085" t="inlineStr">
        <is>
          <t>Raj Kumar</t>
        </is>
      </c>
      <c r="Q2085" t="inlineStr">
        <is>
          <t>Neutral</t>
        </is>
      </c>
    </row>
    <row r="2086">
      <c r="A2086" t="inlineStr">
        <is>
          <t>hitesh.k</t>
        </is>
      </c>
      <c r="B2086" t="inlineStr">
        <is>
          <t>Hitesh Kandpal</t>
        </is>
      </c>
      <c r="C2086" t="inlineStr">
        <is>
          <t>hitesh.k@osmosys.co</t>
        </is>
      </c>
      <c r="D2086" t="inlineStr">
        <is>
          <t>incident-reporter</t>
        </is>
      </c>
      <c r="E2086">
        <f>HYPERLINK("http://gitlab.osmosys.co/incident-reporter/incident-reporter-app", "OQSHA Mobile App")</f>
        <v/>
      </c>
      <c r="F2086">
        <f>HYPERLINK("http://gitlab.osmosys.co/incident-reporter/incident-reporter-app/-/merge_requests/1750", "feat: render independent checks and sections in online library document")</f>
        <v/>
      </c>
      <c r="G2086" t="inlineStr">
        <is>
          <t>feat/render-library-sections</t>
        </is>
      </c>
      <c r="H2086" t="inlineStr">
        <is>
          <t>sprint-17</t>
        </is>
      </c>
      <c r="I2086" t="inlineStr">
        <is>
          <t>merged</t>
        </is>
      </c>
      <c r="J2086" t="inlineStr">
        <is>
          <t>489c9e84164b4a94d65c44ce72521be1e953a849</t>
        </is>
      </c>
      <c r="K2086">
        <f>HYPERLINK("http://gitlab.osmosys.co/incident-reporter/incident-reporter-app/-/merge_requests/1750#note_234689", "it's legacy code, everywhere in portal this is being used, even in every newer module it was approved
this is a constant used for rendering sections, so i used it from there")</f>
        <v/>
      </c>
      <c r="L2086" t="inlineStr">
        <is>
          <t>2025-07-11 00:03:50.454 IST</t>
        </is>
      </c>
      <c r="M2086" t="inlineStr">
        <is>
          <t>Hitesh Kandpal</t>
        </is>
      </c>
      <c r="N2086" t="inlineStr">
        <is>
          <t>No</t>
        </is>
      </c>
      <c r="O2086" t="inlineStr">
        <is>
          <t>Yes</t>
        </is>
      </c>
      <c r="P2086" t="inlineStr">
        <is>
          <t>Raj Kumar</t>
        </is>
      </c>
      <c r="Q2086" t="inlineStr">
        <is>
          <t>Neutral</t>
        </is>
      </c>
    </row>
    <row r="2087">
      <c r="A2087" t="inlineStr">
        <is>
          <t>hitesh.k</t>
        </is>
      </c>
      <c r="B2087" t="inlineStr">
        <is>
          <t>Hitesh Kandpal</t>
        </is>
      </c>
      <c r="C2087" t="inlineStr">
        <is>
          <t>hitesh.k@osmosys.co</t>
        </is>
      </c>
      <c r="D2087" t="inlineStr">
        <is>
          <t>incident-reporter</t>
        </is>
      </c>
      <c r="E2087">
        <f>HYPERLINK("http://gitlab.osmosys.co/incident-reporter/incident-reporter-app", "OQSHA Mobile App")</f>
        <v/>
      </c>
      <c r="F2087">
        <f>HYPERLINK("http://gitlab.osmosys.co/incident-reporter/incident-reporter-app/-/merge_requests/1750", "feat: render independent checks and sections in online library document")</f>
        <v/>
      </c>
      <c r="G2087" t="inlineStr">
        <is>
          <t>feat/render-library-sections</t>
        </is>
      </c>
      <c r="H2087" t="inlineStr">
        <is>
          <t>sprint-17</t>
        </is>
      </c>
      <c r="I2087" t="inlineStr">
        <is>
          <t>merged</t>
        </is>
      </c>
      <c r="J2087" t="inlineStr">
        <is>
          <t>a94cc6bb9779f22dd89a1f88f3e050086c6efea9</t>
        </is>
      </c>
      <c r="K2087">
        <f>HYPERLINK("http://gitlab.osmosys.co/incident-reporter/incident-reporter-app/-/merge_requests/1750#note_234626", "Do we need all these services? I am pretty sure library component doesn't need incident related services.
Do you check whether the services are required at all before injecting them?
Please review and remove the services that are not required.")</f>
        <v/>
      </c>
      <c r="L2087" t="inlineStr">
        <is>
          <t>2025-07-10 23:37:43.947 IST</t>
        </is>
      </c>
      <c r="M2087" t="inlineStr">
        <is>
          <t>Sameer Shaik</t>
        </is>
      </c>
      <c r="N2087" t="inlineStr">
        <is>
          <t>Yes</t>
        </is>
      </c>
      <c r="O2087" t="inlineStr">
        <is>
          <t>Yes</t>
        </is>
      </c>
      <c r="P2087" t="inlineStr">
        <is>
          <t>Raj Kumar</t>
        </is>
      </c>
      <c r="Q2087" t="inlineStr">
        <is>
          <t>Bad</t>
        </is>
      </c>
    </row>
    <row r="2088">
      <c r="A2088" t="inlineStr">
        <is>
          <t>hitesh.k</t>
        </is>
      </c>
      <c r="B2088" t="inlineStr">
        <is>
          <t>Hitesh Kandpal</t>
        </is>
      </c>
      <c r="C2088" t="inlineStr">
        <is>
          <t>hitesh.k@osmosys.co</t>
        </is>
      </c>
      <c r="D2088" t="inlineStr">
        <is>
          <t>incident-reporter</t>
        </is>
      </c>
      <c r="E2088">
        <f>HYPERLINK("http://gitlab.osmosys.co/incident-reporter/incident-reporter-app", "OQSHA Mobile App")</f>
        <v/>
      </c>
      <c r="F2088">
        <f>HYPERLINK("http://gitlab.osmosys.co/incident-reporter/incident-reporter-app/-/merge_requests/1750", "feat: render independent checks and sections in online library document")</f>
        <v/>
      </c>
      <c r="G2088" t="inlineStr">
        <is>
          <t>feat/render-library-sections</t>
        </is>
      </c>
      <c r="H2088" t="inlineStr">
        <is>
          <t>sprint-17</t>
        </is>
      </c>
      <c r="I2088" t="inlineStr">
        <is>
          <t>merged</t>
        </is>
      </c>
      <c r="J2088" t="inlineStr">
        <is>
          <t>a94cc6bb9779f22dd89a1f88f3e050086c6efea9</t>
        </is>
      </c>
      <c r="K2088">
        <f>HYPERLINK("http://gitlab.osmosys.co/incident-reporter/incident-reporter-app/-/merge_requests/1750#note_234693", "removed the services which were not required")</f>
        <v/>
      </c>
      <c r="L2088" t="inlineStr">
        <is>
          <t>2025-07-11 00:05:35.408 IST</t>
        </is>
      </c>
      <c r="M2088" t="inlineStr">
        <is>
          <t>Hitesh Kandpal</t>
        </is>
      </c>
      <c r="N2088" t="inlineStr">
        <is>
          <t>No</t>
        </is>
      </c>
      <c r="O2088" t="inlineStr">
        <is>
          <t>Yes</t>
        </is>
      </c>
      <c r="P2088" t="inlineStr">
        <is>
          <t>Raj Kumar</t>
        </is>
      </c>
      <c r="Q2088" t="inlineStr">
        <is>
          <t>Bad</t>
        </is>
      </c>
    </row>
    <row r="2089">
      <c r="A2089" t="inlineStr">
        <is>
          <t>hitesh.k</t>
        </is>
      </c>
      <c r="B2089" t="inlineStr">
        <is>
          <t>Hitesh Kandpal</t>
        </is>
      </c>
      <c r="C2089" t="inlineStr">
        <is>
          <t>hitesh.k@osmosys.co</t>
        </is>
      </c>
      <c r="D2089" t="inlineStr">
        <is>
          <t>incident-reporter</t>
        </is>
      </c>
      <c r="E2089">
        <f>HYPERLINK("http://gitlab.osmosys.co/incident-reporter/incident-reporter-app", "OQSHA Mobile App")</f>
        <v/>
      </c>
      <c r="F2089">
        <f>HYPERLINK("http://gitlab.osmosys.co/incident-reporter/incident-reporter-app/-/merge_requests/1750", "feat: render independent checks and sections in online library document")</f>
        <v/>
      </c>
      <c r="G2089" t="inlineStr">
        <is>
          <t>feat/render-library-sections</t>
        </is>
      </c>
      <c r="H2089" t="inlineStr">
        <is>
          <t>sprint-17</t>
        </is>
      </c>
      <c r="I2089" t="inlineStr">
        <is>
          <t>merged</t>
        </is>
      </c>
      <c r="J2089" t="inlineStr">
        <is>
          <t>fb3e0c06ee3b6c58c4a582d1a5d1e1566de02b19</t>
        </is>
      </c>
      <c r="K2089">
        <f>HYPERLINK("http://gitlab.osmosys.co/incident-reporter/incident-reporter-app/-/merge_requests/1750#note_234627", "What is the meaning of `stack`? This word doesn't make sense in the business logic.")</f>
        <v/>
      </c>
      <c r="L2089" t="inlineStr">
        <is>
          <t>2025-07-10 23:37:44.002 IST</t>
        </is>
      </c>
      <c r="M2089" t="inlineStr">
        <is>
          <t>Sameer Shaik</t>
        </is>
      </c>
      <c r="N2089" t="inlineStr">
        <is>
          <t>Yes</t>
        </is>
      </c>
      <c r="O2089" t="inlineStr">
        <is>
          <t>Yes</t>
        </is>
      </c>
      <c r="P2089" t="inlineStr">
        <is>
          <t>Raj Kumar</t>
        </is>
      </c>
      <c r="Q2089" t="inlineStr">
        <is>
          <t>Neutral</t>
        </is>
      </c>
    </row>
    <row r="2090">
      <c r="A2090" t="inlineStr">
        <is>
          <t>hitesh.k</t>
        </is>
      </c>
      <c r="B2090" t="inlineStr">
        <is>
          <t>Hitesh Kandpal</t>
        </is>
      </c>
      <c r="C2090" t="inlineStr">
        <is>
          <t>hitesh.k@osmosys.co</t>
        </is>
      </c>
      <c r="D2090" t="inlineStr">
        <is>
          <t>incident-reporter</t>
        </is>
      </c>
      <c r="E2090">
        <f>HYPERLINK("http://gitlab.osmosys.co/incident-reporter/incident-reporter-app", "OQSHA Mobile App")</f>
        <v/>
      </c>
      <c r="F2090">
        <f>HYPERLINK("http://gitlab.osmosys.co/incident-reporter/incident-reporter-app/-/merge_requests/1750", "feat: render independent checks and sections in online library document")</f>
        <v/>
      </c>
      <c r="G2090" t="inlineStr">
        <is>
          <t>feat/render-library-sections</t>
        </is>
      </c>
      <c r="H2090" t="inlineStr">
        <is>
          <t>sprint-17</t>
        </is>
      </c>
      <c r="I2090" t="inlineStr">
        <is>
          <t>merged</t>
        </is>
      </c>
      <c r="J2090" t="inlineStr">
        <is>
          <t>fb3e0c06ee3b6c58c4a582d1a5d1e1566de02b19</t>
        </is>
      </c>
      <c r="K2090">
        <f>HYPERLINK("http://gitlab.osmosys.co/incident-reporter/incident-reporter-app/-/merge_requests/1750#note_234696", "We have multiple sections for each category, so we store their indexes in this stack and use it to navigate properly between sections.
Again, this is legacy code — it's copy-pasted from recently approved PRs that also used the same approach.")</f>
        <v/>
      </c>
      <c r="L2090" t="inlineStr">
        <is>
          <t>2025-07-11 00:07:44.052 IST</t>
        </is>
      </c>
      <c r="M2090" t="inlineStr">
        <is>
          <t>Hitesh Kandpal</t>
        </is>
      </c>
      <c r="N2090" t="inlineStr">
        <is>
          <t>No</t>
        </is>
      </c>
      <c r="O2090" t="inlineStr">
        <is>
          <t>Yes</t>
        </is>
      </c>
      <c r="P2090" t="inlineStr">
        <is>
          <t>Raj Kumar</t>
        </is>
      </c>
      <c r="Q2090" t="inlineStr">
        <is>
          <t>Neutral</t>
        </is>
      </c>
    </row>
    <row r="2091">
      <c r="A2091" t="inlineStr">
        <is>
          <t>hitesh.k</t>
        </is>
      </c>
      <c r="B2091" t="inlineStr">
        <is>
          <t>Hitesh Kandpal</t>
        </is>
      </c>
      <c r="C2091" t="inlineStr">
        <is>
          <t>hitesh.k@osmosys.co</t>
        </is>
      </c>
      <c r="D2091" t="inlineStr">
        <is>
          <t>incident-reporter</t>
        </is>
      </c>
      <c r="E2091">
        <f>HYPERLINK("http://gitlab.osmosys.co/incident-reporter/incident-reporter-app", "OQSHA Mobile App")</f>
        <v/>
      </c>
      <c r="F2091">
        <f>HYPERLINK("http://gitlab.osmosys.co/incident-reporter/incident-reporter-app/-/merge_requests/1750", "feat: render independent checks and sections in online library document")</f>
        <v/>
      </c>
      <c r="G2091" t="inlineStr">
        <is>
          <t>feat/render-library-sections</t>
        </is>
      </c>
      <c r="H2091" t="inlineStr">
        <is>
          <t>sprint-17</t>
        </is>
      </c>
      <c r="I2091" t="inlineStr">
        <is>
          <t>merged</t>
        </is>
      </c>
      <c r="J2091" t="inlineStr">
        <is>
          <t>419ed11209e0f29cb0e4e24b8093f642ff0131d5</t>
        </is>
      </c>
      <c r="K2091">
        <f>HYPERLINK("http://gitlab.osmosys.co/incident-reporter/incident-reporter-app/-/merge_requests/1750#note_234628", "Why not use `&lt;=` operator here? I'm pretty sure it's available in JS/TS")</f>
        <v/>
      </c>
      <c r="L2091" t="inlineStr">
        <is>
          <t>2025-07-10 23:37:44.057 IST</t>
        </is>
      </c>
      <c r="M2091" t="inlineStr">
        <is>
          <t>Sameer Shaik</t>
        </is>
      </c>
      <c r="N2091" t="inlineStr">
        <is>
          <t>Yes</t>
        </is>
      </c>
      <c r="O2091" t="inlineStr">
        <is>
          <t>Yes</t>
        </is>
      </c>
      <c r="P2091" t="inlineStr">
        <is>
          <t>Raj Kumar</t>
        </is>
      </c>
      <c r="Q2091" t="inlineStr">
        <is>
          <t>Bad</t>
        </is>
      </c>
    </row>
    <row r="2092">
      <c r="A2092" t="inlineStr">
        <is>
          <t>hitesh.k</t>
        </is>
      </c>
      <c r="B2092" t="inlineStr">
        <is>
          <t>Hitesh Kandpal</t>
        </is>
      </c>
      <c r="C2092" t="inlineStr">
        <is>
          <t>hitesh.k@osmosys.co</t>
        </is>
      </c>
      <c r="D2092" t="inlineStr">
        <is>
          <t>incident-reporter</t>
        </is>
      </c>
      <c r="E2092">
        <f>HYPERLINK("http://gitlab.osmosys.co/incident-reporter/incident-reporter-app", "OQSHA Mobile App")</f>
        <v/>
      </c>
      <c r="F2092">
        <f>HYPERLINK("http://gitlab.osmosys.co/incident-reporter/incident-reporter-app/-/merge_requests/1750", "feat: render independent checks and sections in online library document")</f>
        <v/>
      </c>
      <c r="G2092" t="inlineStr">
        <is>
          <t>feat/render-library-sections</t>
        </is>
      </c>
      <c r="H2092" t="inlineStr">
        <is>
          <t>sprint-17</t>
        </is>
      </c>
      <c r="I2092" t="inlineStr">
        <is>
          <t>merged</t>
        </is>
      </c>
      <c r="J2092" t="inlineStr">
        <is>
          <t>419ed11209e0f29cb0e4e24b8093f642ff0131d5</t>
        </is>
      </c>
      <c r="K2092">
        <f>HYPERLINK("http://gitlab.osmosys.co/incident-reporter/incident-reporter-app/-/merge_requests/1750#note_234725", "updated")</f>
        <v/>
      </c>
      <c r="L2092" t="inlineStr">
        <is>
          <t>2025-07-11 00:16:55.881 IST</t>
        </is>
      </c>
      <c r="M2092" t="inlineStr">
        <is>
          <t>Hitesh Kandpal</t>
        </is>
      </c>
      <c r="N2092" t="inlineStr">
        <is>
          <t>No</t>
        </is>
      </c>
      <c r="O2092" t="inlineStr">
        <is>
          <t>Yes</t>
        </is>
      </c>
      <c r="P2092" t="inlineStr">
        <is>
          <t>Raj Kumar</t>
        </is>
      </c>
      <c r="Q2092" t="inlineStr">
        <is>
          <t>Bad</t>
        </is>
      </c>
    </row>
    <row r="2093">
      <c r="A2093" t="inlineStr">
        <is>
          <t>hitesh.k</t>
        </is>
      </c>
      <c r="B2093" t="inlineStr">
        <is>
          <t>Hitesh Kandpal</t>
        </is>
      </c>
      <c r="C2093" t="inlineStr">
        <is>
          <t>hitesh.k@osmosys.co</t>
        </is>
      </c>
      <c r="D2093" t="inlineStr">
        <is>
          <t>incident-reporter</t>
        </is>
      </c>
      <c r="E2093">
        <f>HYPERLINK("http://gitlab.osmosys.co/incident-reporter/incident-reporter-app", "OQSHA Mobile App")</f>
        <v/>
      </c>
      <c r="F2093">
        <f>HYPERLINK("http://gitlab.osmosys.co/incident-reporter/incident-reporter-app/-/merge_requests/1750", "feat: render independent checks and sections in online library document")</f>
        <v/>
      </c>
      <c r="G2093" t="inlineStr">
        <is>
          <t>feat/render-library-sections</t>
        </is>
      </c>
      <c r="H2093" t="inlineStr">
        <is>
          <t>sprint-17</t>
        </is>
      </c>
      <c r="I2093" t="inlineStr">
        <is>
          <t>merged</t>
        </is>
      </c>
      <c r="J2093" t="inlineStr">
        <is>
          <t>0782b03f1db59309f50670645a30e359864edd00</t>
        </is>
      </c>
      <c r="K2093">
        <f>HYPERLINK("http://gitlab.osmosys.co/incident-reporter/incident-reporter-app/-/merge_requests/1750#note_234629", "A function name `nextSection` is a rookie error.
![image](/uploads/3ad4d4daa8e1eb1822276bd461af4a65/image.png)")</f>
        <v/>
      </c>
      <c r="L2093" t="inlineStr">
        <is>
          <t>2025-07-10 23:37:44.112 IST</t>
        </is>
      </c>
      <c r="M2093" t="inlineStr">
        <is>
          <t>Sameer Shaik</t>
        </is>
      </c>
      <c r="N2093" t="inlineStr">
        <is>
          <t>Yes</t>
        </is>
      </c>
      <c r="O2093" t="inlineStr">
        <is>
          <t>Yes</t>
        </is>
      </c>
      <c r="P2093" t="inlineStr">
        <is>
          <t>Raj Kumar</t>
        </is>
      </c>
      <c r="Q2093" t="inlineStr">
        <is>
          <t>Neutral</t>
        </is>
      </c>
    </row>
    <row r="2094">
      <c r="A2094" t="inlineStr">
        <is>
          <t>hitesh.k</t>
        </is>
      </c>
      <c r="B2094" t="inlineStr">
        <is>
          <t>Hitesh Kandpal</t>
        </is>
      </c>
      <c r="C2094" t="inlineStr">
        <is>
          <t>hitesh.k@osmosys.co</t>
        </is>
      </c>
      <c r="D2094" t="inlineStr">
        <is>
          <t>incident-reporter</t>
        </is>
      </c>
      <c r="E2094">
        <f>HYPERLINK("http://gitlab.osmosys.co/incident-reporter/incident-reporter-app", "OQSHA Mobile App")</f>
        <v/>
      </c>
      <c r="F2094">
        <f>HYPERLINK("http://gitlab.osmosys.co/incident-reporter/incident-reporter-app/-/merge_requests/1750", "feat: render independent checks and sections in online library document")</f>
        <v/>
      </c>
      <c r="G2094" t="inlineStr">
        <is>
          <t>feat/render-library-sections</t>
        </is>
      </c>
      <c r="H2094" t="inlineStr">
        <is>
          <t>sprint-17</t>
        </is>
      </c>
      <c r="I2094" t="inlineStr">
        <is>
          <t>merged</t>
        </is>
      </c>
      <c r="J2094" t="inlineStr">
        <is>
          <t>0782b03f1db59309f50670645a30e359864edd00</t>
        </is>
      </c>
      <c r="K2094">
        <f>HYPERLINK("http://gitlab.osmosys.co/incident-reporter/incident-reporter-app/-/merge_requests/1750#note_234729", "This function clearly communicates its purpose — it’s used to navigate to the next section, and the name reflects that.
Also, this function being consistently used across the portal in multiple modules, including recently reviewed and approved code. Renaming it would introduce unnecessary inconsistency.")</f>
        <v/>
      </c>
      <c r="L2094" t="inlineStr">
        <is>
          <t>2025-07-11 00:19:15.487 IST</t>
        </is>
      </c>
      <c r="M2094" t="inlineStr">
        <is>
          <t>Hitesh Kandpal</t>
        </is>
      </c>
      <c r="N2094" t="inlineStr">
        <is>
          <t>No</t>
        </is>
      </c>
      <c r="O2094" t="inlineStr">
        <is>
          <t>Yes</t>
        </is>
      </c>
      <c r="P2094" t="inlineStr">
        <is>
          <t>Raj Kumar</t>
        </is>
      </c>
      <c r="Q2094" t="inlineStr">
        <is>
          <t>Neutral</t>
        </is>
      </c>
    </row>
    <row r="2095">
      <c r="A2095" t="inlineStr">
        <is>
          <t>hitesh.k</t>
        </is>
      </c>
      <c r="B2095" t="inlineStr">
        <is>
          <t>Hitesh Kandpal</t>
        </is>
      </c>
      <c r="C2095" t="inlineStr">
        <is>
          <t>hitesh.k@osmosys.co</t>
        </is>
      </c>
      <c r="D2095" t="inlineStr">
        <is>
          <t>incident-reporter</t>
        </is>
      </c>
      <c r="E2095">
        <f>HYPERLINK("http://gitlab.osmosys.co/incident-reporter/incident-reporter-app", "OQSHA Mobile App")</f>
        <v/>
      </c>
      <c r="F2095">
        <f>HYPERLINK("http://gitlab.osmosys.co/incident-reporter/incident-reporter-app/-/merge_requests/1750", "feat: render independent checks and sections in online library document")</f>
        <v/>
      </c>
      <c r="G2095" t="inlineStr">
        <is>
          <t>feat/render-library-sections</t>
        </is>
      </c>
      <c r="H2095" t="inlineStr">
        <is>
          <t>sprint-17</t>
        </is>
      </c>
      <c r="I2095" t="inlineStr">
        <is>
          <t>merged</t>
        </is>
      </c>
      <c r="J2095" t="inlineStr">
        <is>
          <t>11f642779566ef46b4bc3da40bd7ff4aafa60f55</t>
        </is>
      </c>
      <c r="K2095">
        <f>HYPERLINK("http://gitlab.osmosys.co/incident-reporter/incident-reporter-app/-/merge_requests/1750#note_234630", "Bad function name. Check my comment on function names above.")</f>
        <v/>
      </c>
      <c r="L2095" t="inlineStr">
        <is>
          <t>2025-07-10 23:37:44.170 IST</t>
        </is>
      </c>
      <c r="M2095" t="inlineStr">
        <is>
          <t>Sameer Shaik</t>
        </is>
      </c>
      <c r="N2095" t="inlineStr">
        <is>
          <t>Yes</t>
        </is>
      </c>
      <c r="O2095" t="inlineStr">
        <is>
          <t>Yes</t>
        </is>
      </c>
      <c r="P2095" t="inlineStr">
        <is>
          <t>Raj Kumar</t>
        </is>
      </c>
      <c r="Q2095" t="inlineStr">
        <is>
          <t>Bad</t>
        </is>
      </c>
    </row>
    <row r="2096">
      <c r="A2096" t="inlineStr">
        <is>
          <t>hitesh.k</t>
        </is>
      </c>
      <c r="B2096" t="inlineStr">
        <is>
          <t>Hitesh Kandpal</t>
        </is>
      </c>
      <c r="C2096" t="inlineStr">
        <is>
          <t>hitesh.k@osmosys.co</t>
        </is>
      </c>
      <c r="D2096" t="inlineStr">
        <is>
          <t>incident-reporter</t>
        </is>
      </c>
      <c r="E2096">
        <f>HYPERLINK("http://gitlab.osmosys.co/incident-reporter/incident-reporter-app", "OQSHA Mobile App")</f>
        <v/>
      </c>
      <c r="F2096">
        <f>HYPERLINK("http://gitlab.osmosys.co/incident-reporter/incident-reporter-app/-/merge_requests/1750", "feat: render independent checks and sections in online library document")</f>
        <v/>
      </c>
      <c r="G2096" t="inlineStr">
        <is>
          <t>feat/render-library-sections</t>
        </is>
      </c>
      <c r="H2096" t="inlineStr">
        <is>
          <t>sprint-17</t>
        </is>
      </c>
      <c r="I2096" t="inlineStr">
        <is>
          <t>merged</t>
        </is>
      </c>
      <c r="J2096" t="inlineStr">
        <is>
          <t>11f642779566ef46b4bc3da40bd7ff4aafa60f55</t>
        </is>
      </c>
      <c r="K2096">
        <f>HYPERLINK("http://gitlab.osmosys.co/incident-reporter/incident-reporter-app/-/merge_requests/1750#note_234730", "This function clearly communicates its purpose — it’s used to navigate to the next section, and the name reflects that.
Also, this function being consistently used across the portal in multiple modules, including recently reviewed and approved code. Renaming it would introduce unnecessary inconsistency.")</f>
        <v/>
      </c>
      <c r="L2096" t="inlineStr">
        <is>
          <t>2025-07-11 00:19:26.652 IST</t>
        </is>
      </c>
      <c r="M2096" t="inlineStr">
        <is>
          <t>Hitesh Kandpal</t>
        </is>
      </c>
      <c r="N2096" t="inlineStr">
        <is>
          <t>No</t>
        </is>
      </c>
      <c r="O2096" t="inlineStr">
        <is>
          <t>Yes</t>
        </is>
      </c>
      <c r="P2096" t="inlineStr">
        <is>
          <t>Raj Kumar</t>
        </is>
      </c>
      <c r="Q2096" t="inlineStr">
        <is>
          <t>Bad</t>
        </is>
      </c>
    </row>
    <row r="2097">
      <c r="A2097" t="inlineStr">
        <is>
          <t>hitesh.k</t>
        </is>
      </c>
      <c r="B2097" t="inlineStr">
        <is>
          <t>Hitesh Kandpal</t>
        </is>
      </c>
      <c r="C2097" t="inlineStr">
        <is>
          <t>hitesh.k@osmosys.co</t>
        </is>
      </c>
      <c r="D2097" t="inlineStr">
        <is>
          <t>incident-reporter</t>
        </is>
      </c>
      <c r="E2097">
        <f>HYPERLINK("http://gitlab.osmosys.co/incident-reporter/incident-reporter-app", "OQSHA Mobile App")</f>
        <v/>
      </c>
      <c r="F2097">
        <f>HYPERLINK("http://gitlab.osmosys.co/incident-reporter/incident-reporter-app/-/merge_requests/1750", "feat: render independent checks and sections in online library document")</f>
        <v/>
      </c>
      <c r="G2097" t="inlineStr">
        <is>
          <t>feat/render-library-sections</t>
        </is>
      </c>
      <c r="H2097" t="inlineStr">
        <is>
          <t>sprint-17</t>
        </is>
      </c>
      <c r="I2097" t="inlineStr">
        <is>
          <t>merged</t>
        </is>
      </c>
      <c r="J2097" t="inlineStr">
        <is>
          <t>aa194380a80f5114e2818c471b638e61a73a80ac</t>
        </is>
      </c>
      <c r="K2097">
        <f>HYPERLINK("http://gitlab.osmosys.co/incident-reporter/incident-reporter-app/-/merge_requests/1750#note_234631", "Why are two properties of nextSection sectionOrder and SectionName following two different naming style? One is camelcased and the other is pascal cased")</f>
        <v/>
      </c>
      <c r="L2097" t="inlineStr">
        <is>
          <t>2025-07-10 23:37:44.225 IST</t>
        </is>
      </c>
      <c r="M2097" t="inlineStr">
        <is>
          <t>Sameer Shaik</t>
        </is>
      </c>
      <c r="N2097" t="inlineStr">
        <is>
          <t>Yes</t>
        </is>
      </c>
      <c r="O2097" t="inlineStr">
        <is>
          <t>Yes</t>
        </is>
      </c>
      <c r="P2097" t="inlineStr">
        <is>
          <t>Raj Kumar</t>
        </is>
      </c>
      <c r="Q2097" t="inlineStr">
        <is>
          <t>Neutral</t>
        </is>
      </c>
    </row>
    <row r="2098">
      <c r="A2098" t="inlineStr">
        <is>
          <t>hitesh.k</t>
        </is>
      </c>
      <c r="B2098" t="inlineStr">
        <is>
          <t>Hitesh Kandpal</t>
        </is>
      </c>
      <c r="C2098" t="inlineStr">
        <is>
          <t>hitesh.k@osmosys.co</t>
        </is>
      </c>
      <c r="D2098" t="inlineStr">
        <is>
          <t>incident-reporter</t>
        </is>
      </c>
      <c r="E2098">
        <f>HYPERLINK("http://gitlab.osmosys.co/incident-reporter/incident-reporter-app", "OQSHA Mobile App")</f>
        <v/>
      </c>
      <c r="F2098">
        <f>HYPERLINK("http://gitlab.osmosys.co/incident-reporter/incident-reporter-app/-/merge_requests/1750", "feat: render independent checks and sections in online library document")</f>
        <v/>
      </c>
      <c r="G2098" t="inlineStr">
        <is>
          <t>feat/render-library-sections</t>
        </is>
      </c>
      <c r="H2098" t="inlineStr">
        <is>
          <t>sprint-17</t>
        </is>
      </c>
      <c r="I2098" t="inlineStr">
        <is>
          <t>merged</t>
        </is>
      </c>
      <c r="J2098" t="inlineStr">
        <is>
          <t>aa194380a80f5114e2818c471b638e61a73a80ac</t>
        </is>
      </c>
      <c r="K2098">
        <f>HYPERLINK("http://gitlab.osmosys.co/incident-reporter/incident-reporter-app/-/merge_requests/1750#note_234739", "Because sectionOrder is defined in the UI and explicitly stored in nextSection, whereas SectionName comes directly from the API. So we are storing the API response as-is in nextSection, which is why SectionName follows the casing from the API, while sectionOrder follows the UI's casing convention.")</f>
        <v/>
      </c>
      <c r="L2098" t="inlineStr">
        <is>
          <t>2025-07-11 00:25:25.529 IST</t>
        </is>
      </c>
      <c r="M2098" t="inlineStr">
        <is>
          <t>Hitesh Kandpal</t>
        </is>
      </c>
      <c r="N2098" t="inlineStr">
        <is>
          <t>No</t>
        </is>
      </c>
      <c r="O2098" t="inlineStr">
        <is>
          <t>Yes</t>
        </is>
      </c>
      <c r="P2098" t="inlineStr">
        <is>
          <t>Raj Kumar</t>
        </is>
      </c>
      <c r="Q2098" t="inlineStr">
        <is>
          <t>Neutral</t>
        </is>
      </c>
    </row>
    <row r="2099">
      <c r="A2099" t="inlineStr">
        <is>
          <t>hitesh.k</t>
        </is>
      </c>
      <c r="B2099" t="inlineStr">
        <is>
          <t>Hitesh Kandpal</t>
        </is>
      </c>
      <c r="C2099" t="inlineStr">
        <is>
          <t>hitesh.k@osmosys.co</t>
        </is>
      </c>
      <c r="D2099" t="inlineStr">
        <is>
          <t>incident-reporter</t>
        </is>
      </c>
      <c r="E2099">
        <f>HYPERLINK("http://gitlab.osmosys.co/incident-reporter/incident-reporter-app", "OQSHA Mobile App")</f>
        <v/>
      </c>
      <c r="F2099">
        <f>HYPERLINK("http://gitlab.osmosys.co/incident-reporter/incident-reporter-app/-/merge_requests/1750", "feat: render independent checks and sections in online library document")</f>
        <v/>
      </c>
      <c r="G2099" t="inlineStr">
        <is>
          <t>feat/render-library-sections</t>
        </is>
      </c>
      <c r="H2099" t="inlineStr">
        <is>
          <t>sprint-17</t>
        </is>
      </c>
      <c r="I2099" t="inlineStr">
        <is>
          <t>merged</t>
        </is>
      </c>
      <c r="J2099" t="inlineStr">
        <is>
          <t>410c63010e3fc09af0e74dd443f9e3826d4d1bd5</t>
        </is>
      </c>
      <c r="K2099">
        <f>HYPERLINK("http://gitlab.osmosys.co/incident-reporter/incident-reporter-app/-/merge_requests/1750#note_234632", "Don't we want to show an error toast on failure?")</f>
        <v/>
      </c>
      <c r="L2099" t="inlineStr">
        <is>
          <t>2025-07-10 23:37:44.281 IST</t>
        </is>
      </c>
      <c r="M2099" t="inlineStr">
        <is>
          <t>Sameer Shaik</t>
        </is>
      </c>
      <c r="N2099" t="inlineStr">
        <is>
          <t>Yes</t>
        </is>
      </c>
      <c r="O2099" t="inlineStr">
        <is>
          <t>Yes</t>
        </is>
      </c>
      <c r="P2099" t="inlineStr">
        <is>
          <t>Raj Kumar</t>
        </is>
      </c>
      <c r="Q2099" t="inlineStr">
        <is>
          <t>Bad</t>
        </is>
      </c>
    </row>
    <row r="2100">
      <c r="A2100" t="inlineStr">
        <is>
          <t>hitesh.k</t>
        </is>
      </c>
      <c r="B2100" t="inlineStr">
        <is>
          <t>Hitesh Kandpal</t>
        </is>
      </c>
      <c r="C2100" t="inlineStr">
        <is>
          <t>hitesh.k@osmosys.co</t>
        </is>
      </c>
      <c r="D2100" t="inlineStr">
        <is>
          <t>incident-reporter</t>
        </is>
      </c>
      <c r="E2100">
        <f>HYPERLINK("http://gitlab.osmosys.co/incident-reporter/incident-reporter-app", "OQSHA Mobile App")</f>
        <v/>
      </c>
      <c r="F2100">
        <f>HYPERLINK("http://gitlab.osmosys.co/incident-reporter/incident-reporter-app/-/merge_requests/1750", "feat: render independent checks and sections in online library document")</f>
        <v/>
      </c>
      <c r="G2100" t="inlineStr">
        <is>
          <t>feat/render-library-sections</t>
        </is>
      </c>
      <c r="H2100" t="inlineStr">
        <is>
          <t>sprint-17</t>
        </is>
      </c>
      <c r="I2100" t="inlineStr">
        <is>
          <t>merged</t>
        </is>
      </c>
      <c r="J2100" t="inlineStr">
        <is>
          <t>410c63010e3fc09af0e74dd443f9e3826d4d1bd5</t>
        </is>
      </c>
      <c r="K2100">
        <f>HYPERLINK("http://gitlab.osmosys.co/incident-reporter/incident-reporter-app/-/merge_requests/1750#note_234732", "added toastr")</f>
        <v/>
      </c>
      <c r="L2100" t="inlineStr">
        <is>
          <t>2025-07-11 00:21:05.825 IST</t>
        </is>
      </c>
      <c r="M2100" t="inlineStr">
        <is>
          <t>Hitesh Kandpal</t>
        </is>
      </c>
      <c r="N2100" t="inlineStr">
        <is>
          <t>No</t>
        </is>
      </c>
      <c r="O2100" t="inlineStr">
        <is>
          <t>Yes</t>
        </is>
      </c>
      <c r="P2100" t="inlineStr">
        <is>
          <t>Raj Kumar</t>
        </is>
      </c>
      <c r="Q2100" t="inlineStr">
        <is>
          <t>Bad</t>
        </is>
      </c>
    </row>
    <row r="2101">
      <c r="A2101" t="inlineStr">
        <is>
          <t>hitesh.k</t>
        </is>
      </c>
      <c r="B2101" t="inlineStr">
        <is>
          <t>Hitesh Kandpal</t>
        </is>
      </c>
      <c r="C2101" t="inlineStr">
        <is>
          <t>hitesh.k@osmosys.co</t>
        </is>
      </c>
      <c r="D2101" t="inlineStr">
        <is>
          <t>incident-reporter</t>
        </is>
      </c>
      <c r="E2101">
        <f>HYPERLINK("http://gitlab.osmosys.co/incident-reporter/incident-reporter-app", "OQSHA Mobile App")</f>
        <v/>
      </c>
      <c r="F2101">
        <f>HYPERLINK("http://gitlab.osmosys.co/incident-reporter/incident-reporter-app/-/merge_requests/1750", "feat: render independent checks and sections in online library document")</f>
        <v/>
      </c>
      <c r="G2101" t="inlineStr">
        <is>
          <t>feat/render-library-sections</t>
        </is>
      </c>
      <c r="H2101" t="inlineStr">
        <is>
          <t>sprint-17</t>
        </is>
      </c>
      <c r="I2101" t="inlineStr">
        <is>
          <t>merged</t>
        </is>
      </c>
      <c r="J2101" t="inlineStr">
        <is>
          <t>4d0ffa7c7896f2611a330769c3eedfa81856e6f4</t>
        </is>
      </c>
      <c r="K2101">
        <f>HYPERLINK("http://gitlab.osmosys.co/incident-reporter/incident-reporter-app/-/merge_requests/1750#note_234633", "What is the user of `PtwFunctions` here in this module? This is confusing.")</f>
        <v/>
      </c>
      <c r="L2101" t="inlineStr">
        <is>
          <t>2025-07-10 23:37:44.336 IST</t>
        </is>
      </c>
      <c r="M2101" t="inlineStr">
        <is>
          <t>Sameer Shaik</t>
        </is>
      </c>
      <c r="N2101" t="inlineStr">
        <is>
          <t>Yes</t>
        </is>
      </c>
      <c r="O2101" t="inlineStr">
        <is>
          <t>Yes</t>
        </is>
      </c>
      <c r="P2101" t="inlineStr">
        <is>
          <t>Raj Kumar</t>
        </is>
      </c>
      <c r="Q2101" t="inlineStr">
        <is>
          <t>Neutral</t>
        </is>
      </c>
    </row>
    <row r="2102">
      <c r="A2102" t="inlineStr">
        <is>
          <t>hitesh.k</t>
        </is>
      </c>
      <c r="B2102" t="inlineStr">
        <is>
          <t>Hitesh Kandpal</t>
        </is>
      </c>
      <c r="C2102" t="inlineStr">
        <is>
          <t>hitesh.k@osmosys.co</t>
        </is>
      </c>
      <c r="D2102" t="inlineStr">
        <is>
          <t>incident-reporter</t>
        </is>
      </c>
      <c r="E2102">
        <f>HYPERLINK("http://gitlab.osmosys.co/incident-reporter/incident-reporter-app", "OQSHA Mobile App")</f>
        <v/>
      </c>
      <c r="F2102">
        <f>HYPERLINK("http://gitlab.osmosys.co/incident-reporter/incident-reporter-app/-/merge_requests/1750", "feat: render independent checks and sections in online library document")</f>
        <v/>
      </c>
      <c r="G2102" t="inlineStr">
        <is>
          <t>feat/render-library-sections</t>
        </is>
      </c>
      <c r="H2102" t="inlineStr">
        <is>
          <t>sprint-17</t>
        </is>
      </c>
      <c r="I2102" t="inlineStr">
        <is>
          <t>merged</t>
        </is>
      </c>
      <c r="J2102" t="inlineStr">
        <is>
          <t>4d0ffa7c7896f2611a330769c3eedfa81856e6f4</t>
        </is>
      </c>
      <c r="K2102">
        <f>HYPERLINK("http://gitlab.osmosys.co/incident-reporter/incident-reporter-app/-/merge_requests/1750#note_234740", "PtwFunctions is a function used to convert all sections coming from the API into processedSections so we can use them for navigation. Every module in the UI uses this function whenever we need to render sections in a specific component. This is just copy-pasted code from there.")</f>
        <v/>
      </c>
      <c r="L2102" t="inlineStr">
        <is>
          <t>2025-07-11 00:26:55.987 IST</t>
        </is>
      </c>
      <c r="M2102" t="inlineStr">
        <is>
          <t>Hitesh Kandpal</t>
        </is>
      </c>
      <c r="N2102" t="inlineStr">
        <is>
          <t>No</t>
        </is>
      </c>
      <c r="O2102" t="inlineStr">
        <is>
          <t>Yes</t>
        </is>
      </c>
      <c r="P2102" t="inlineStr">
        <is>
          <t>Raj Kumar</t>
        </is>
      </c>
      <c r="Q2102" t="inlineStr">
        <is>
          <t>Neutral</t>
        </is>
      </c>
    </row>
    <row r="2103">
      <c r="A2103" t="inlineStr">
        <is>
          <t>hitesh.k</t>
        </is>
      </c>
      <c r="B2103" t="inlineStr">
        <is>
          <t>Hitesh Kandpal</t>
        </is>
      </c>
      <c r="C2103" t="inlineStr">
        <is>
          <t>hitesh.k@osmosys.co</t>
        </is>
      </c>
      <c r="D2103" t="inlineStr">
        <is>
          <t>incident-reporter</t>
        </is>
      </c>
      <c r="E2103">
        <f>HYPERLINK("http://gitlab.osmosys.co/incident-reporter/incident-reporter-app", "OQSHA Mobile App")</f>
        <v/>
      </c>
      <c r="F2103">
        <f>HYPERLINK("http://gitlab.osmosys.co/incident-reporter/incident-reporter-app/-/merge_requests/1750", "feat: render independent checks and sections in online library document")</f>
        <v/>
      </c>
      <c r="G2103" t="inlineStr">
        <is>
          <t>feat/render-library-sections</t>
        </is>
      </c>
      <c r="H2103" t="inlineStr">
        <is>
          <t>sprint-17</t>
        </is>
      </c>
      <c r="I2103" t="inlineStr">
        <is>
          <t>merged</t>
        </is>
      </c>
      <c r="J2103" t="inlineStr">
        <is>
          <t>7b88de1a16941e0d2f0e10abb09d8cc7a86dad68</t>
        </is>
      </c>
      <c r="K2103">
        <f>HYPERLINK("http://gitlab.osmosys.co/incident-reporter/incident-reporter-app/-/merge_requests/1750#note_234634", "Is this styling consistent with all the other buttons of the same type? Why not use the common CSS across the app for consistent styling of buttons?")</f>
        <v/>
      </c>
      <c r="L2103" t="inlineStr">
        <is>
          <t>2025-07-10 23:37:44.421 IST</t>
        </is>
      </c>
      <c r="M2103" t="inlineStr">
        <is>
          <t>Sameer Shaik</t>
        </is>
      </c>
      <c r="N2103" t="inlineStr">
        <is>
          <t>Yes</t>
        </is>
      </c>
      <c r="O2103" t="inlineStr">
        <is>
          <t>Yes</t>
        </is>
      </c>
      <c r="P2103" t="inlineStr">
        <is>
          <t>Raj Kumar</t>
        </is>
      </c>
      <c r="Q2103" t="inlineStr">
        <is>
          <t>Neutral</t>
        </is>
      </c>
    </row>
    <row r="2104">
      <c r="A2104" t="inlineStr">
        <is>
          <t>hitesh.k</t>
        </is>
      </c>
      <c r="B2104" t="inlineStr">
        <is>
          <t>Hitesh Kandpal</t>
        </is>
      </c>
      <c r="C2104" t="inlineStr">
        <is>
          <t>hitesh.k@osmosys.co</t>
        </is>
      </c>
      <c r="D2104" t="inlineStr">
        <is>
          <t>incident-reporter</t>
        </is>
      </c>
      <c r="E2104">
        <f>HYPERLINK("http://gitlab.osmosys.co/incident-reporter/incident-reporter-app", "OQSHA Mobile App")</f>
        <v/>
      </c>
      <c r="F2104">
        <f>HYPERLINK("http://gitlab.osmosys.co/incident-reporter/incident-reporter-app/-/merge_requests/1750", "feat: render independent checks and sections in online library document")</f>
        <v/>
      </c>
      <c r="G2104" t="inlineStr">
        <is>
          <t>feat/render-library-sections</t>
        </is>
      </c>
      <c r="H2104" t="inlineStr">
        <is>
          <t>sprint-17</t>
        </is>
      </c>
      <c r="I2104" t="inlineStr">
        <is>
          <t>merged</t>
        </is>
      </c>
      <c r="J2104" t="inlineStr">
        <is>
          <t>7b88de1a16941e0d2f0e10abb09d8cc7a86dad68</t>
        </is>
      </c>
      <c r="K2104">
        <f>HYPERLINK("http://gitlab.osmosys.co/incident-reporter/incident-reporter-app/-/merge_requests/1750#note_234741", "difference in class name of older module code and new module code, same reason as this comment -&gt; http://gitlab.osmosys.co/incident-reporter/incident-reporter-app/-/merge_requests/1750#note_234683")</f>
        <v/>
      </c>
      <c r="L2104" t="inlineStr">
        <is>
          <t>2025-07-11 00:28:23.723 IST</t>
        </is>
      </c>
      <c r="M2104" t="inlineStr">
        <is>
          <t>Hitesh Kandpal</t>
        </is>
      </c>
      <c r="N2104" t="inlineStr">
        <is>
          <t>No</t>
        </is>
      </c>
      <c r="O2104" t="inlineStr">
        <is>
          <t>Yes</t>
        </is>
      </c>
      <c r="P2104" t="inlineStr">
        <is>
          <t>Raj Kumar</t>
        </is>
      </c>
      <c r="Q2104" t="inlineStr">
        <is>
          <t>Neutral</t>
        </is>
      </c>
    </row>
    <row r="2105">
      <c r="A2105" t="inlineStr">
        <is>
          <t>hitesh.k</t>
        </is>
      </c>
      <c r="B2105" t="inlineStr">
        <is>
          <t>Hitesh Kandpal</t>
        </is>
      </c>
      <c r="C2105" t="inlineStr">
        <is>
          <t>hitesh.k@osmosys.co</t>
        </is>
      </c>
      <c r="D2105" t="inlineStr">
        <is>
          <t>incident-reporter</t>
        </is>
      </c>
      <c r="E2105">
        <f>HYPERLINK("http://gitlab.osmosys.co/incident-reporter/incident-reporter-app", "OQSHA Mobile App")</f>
        <v/>
      </c>
      <c r="F2105">
        <f>HYPERLINK("http://gitlab.osmosys.co/incident-reporter/incident-reporter-app/-/merge_requests/1750", "feat: render independent checks and sections in online library document")</f>
        <v/>
      </c>
      <c r="G2105" t="inlineStr">
        <is>
          <t>feat/render-library-sections</t>
        </is>
      </c>
      <c r="H2105" t="inlineStr">
        <is>
          <t>sprint-17</t>
        </is>
      </c>
      <c r="I2105" t="inlineStr">
        <is>
          <t>merged</t>
        </is>
      </c>
      <c r="J2105" t="inlineStr">
        <is>
          <t>e11ec628b44ffdebbcb169243b6325ec6e8aacd0</t>
        </is>
      </c>
      <c r="K2105">
        <f>HYPERLINK("http://gitlab.osmosys.co/incident-reporter/incident-reporter-app/-/merge_requests/1750#note_234635", "This TODO should be FIXME. Also, it should clearly mention the issue so that it can be revisited in the future.")</f>
        <v/>
      </c>
      <c r="L2105" t="inlineStr">
        <is>
          <t>2025-07-10 23:37:44.476 IST</t>
        </is>
      </c>
      <c r="M2105" t="inlineStr">
        <is>
          <t>Sameer Shaik</t>
        </is>
      </c>
      <c r="N2105" t="inlineStr">
        <is>
          <t>Yes</t>
        </is>
      </c>
      <c r="O2105" t="inlineStr">
        <is>
          <t>Yes</t>
        </is>
      </c>
      <c r="P2105" t="inlineStr">
        <is>
          <t>Raj Kumar</t>
        </is>
      </c>
      <c r="Q2105" t="inlineStr">
        <is>
          <t>Bad</t>
        </is>
      </c>
    </row>
    <row r="2106">
      <c r="A2106" t="inlineStr">
        <is>
          <t>hitesh.k</t>
        </is>
      </c>
      <c r="B2106" t="inlineStr">
        <is>
          <t>Hitesh Kandpal</t>
        </is>
      </c>
      <c r="C2106" t="inlineStr">
        <is>
          <t>hitesh.k@osmosys.co</t>
        </is>
      </c>
      <c r="D2106" t="inlineStr">
        <is>
          <t>incident-reporter</t>
        </is>
      </c>
      <c r="E2106">
        <f>HYPERLINK("http://gitlab.osmosys.co/incident-reporter/incident-reporter-app", "OQSHA Mobile App")</f>
        <v/>
      </c>
      <c r="F2106">
        <f>HYPERLINK("http://gitlab.osmosys.co/incident-reporter/incident-reporter-app/-/merge_requests/1750", "feat: render independent checks and sections in online library document")</f>
        <v/>
      </c>
      <c r="G2106" t="inlineStr">
        <is>
          <t>feat/render-library-sections</t>
        </is>
      </c>
      <c r="H2106" t="inlineStr">
        <is>
          <t>sprint-17</t>
        </is>
      </c>
      <c r="I2106" t="inlineStr">
        <is>
          <t>merged</t>
        </is>
      </c>
      <c r="J2106" t="inlineStr">
        <is>
          <t>e11ec628b44ffdebbcb169243b6325ec6e8aacd0</t>
        </is>
      </c>
      <c r="K2106">
        <f>HYPERLINK("http://gitlab.osmosys.co/incident-reporter/incident-reporter-app/-/merge_requests/1750#note_234742", "this is the legacy code which needed to be fix properly, please check the task description for additional notes and the comment link attached there")</f>
        <v/>
      </c>
      <c r="L2106" t="inlineStr">
        <is>
          <t>2025-07-11 00:29:35.742 IST</t>
        </is>
      </c>
      <c r="M2106" t="inlineStr">
        <is>
          <t>Hitesh Kandpal</t>
        </is>
      </c>
      <c r="N2106" t="inlineStr">
        <is>
          <t>No</t>
        </is>
      </c>
      <c r="O2106" t="inlineStr">
        <is>
          <t>Yes</t>
        </is>
      </c>
      <c r="P2106" t="inlineStr">
        <is>
          <t>Raj Kumar</t>
        </is>
      </c>
      <c r="Q2106" t="inlineStr">
        <is>
          <t>Bad</t>
        </is>
      </c>
    </row>
    <row r="2107">
      <c r="A2107" t="inlineStr">
        <is>
          <t>hitesh.k</t>
        </is>
      </c>
      <c r="B2107" t="inlineStr">
        <is>
          <t>Hitesh Kandpal</t>
        </is>
      </c>
      <c r="C2107" t="inlineStr">
        <is>
          <t>hitesh.k@osmosys.co</t>
        </is>
      </c>
      <c r="D2107" t="inlineStr">
        <is>
          <t>incident-reporter</t>
        </is>
      </c>
      <c r="E2107">
        <f>HYPERLINK("http://gitlab.osmosys.co/incident-reporter/incident-reporter-app", "OQSHA Mobile App")</f>
        <v/>
      </c>
      <c r="F2107">
        <f>HYPERLINK("http://gitlab.osmosys.co/incident-reporter/incident-reporter-app/-/merge_requests/1750", "feat: render independent checks and sections in online library document")</f>
        <v/>
      </c>
      <c r="G2107" t="inlineStr">
        <is>
          <t>feat/render-library-sections</t>
        </is>
      </c>
      <c r="H2107" t="inlineStr">
        <is>
          <t>sprint-17</t>
        </is>
      </c>
      <c r="I2107" t="inlineStr">
        <is>
          <t>merged</t>
        </is>
      </c>
      <c r="J2107" t="inlineStr">
        <is>
          <t>8d602c1272a6f145ac754ec5b1823cb8bceab1f0</t>
        </is>
      </c>
      <c r="K2107">
        <f>HYPERLINK("http://gitlab.osmosys.co/incident-reporter/incident-reporter-app/-/merge_requests/1750#note_234636", "Check my comment on TODO.")</f>
        <v/>
      </c>
      <c r="L2107" t="inlineStr">
        <is>
          <t>2025-07-10 23:37:44.531 IST</t>
        </is>
      </c>
      <c r="M2107" t="inlineStr">
        <is>
          <t>Sameer Shaik</t>
        </is>
      </c>
      <c r="N2107" t="inlineStr">
        <is>
          <t>Yes</t>
        </is>
      </c>
      <c r="O2107" t="inlineStr">
        <is>
          <t>Yes</t>
        </is>
      </c>
      <c r="P2107" t="inlineStr">
        <is>
          <t>Raj Kumar</t>
        </is>
      </c>
      <c r="Q2107" t="inlineStr">
        <is>
          <t>Bad</t>
        </is>
      </c>
    </row>
    <row r="2108">
      <c r="A2108" t="inlineStr">
        <is>
          <t>hitesh.k</t>
        </is>
      </c>
      <c r="B2108" t="inlineStr">
        <is>
          <t>Hitesh Kandpal</t>
        </is>
      </c>
      <c r="C2108" t="inlineStr">
        <is>
          <t>hitesh.k@osmosys.co</t>
        </is>
      </c>
      <c r="D2108" t="inlineStr">
        <is>
          <t>incident-reporter</t>
        </is>
      </c>
      <c r="E2108">
        <f>HYPERLINK("http://gitlab.osmosys.co/incident-reporter/incident-reporter-app", "OQSHA Mobile App")</f>
        <v/>
      </c>
      <c r="F2108">
        <f>HYPERLINK("http://gitlab.osmosys.co/incident-reporter/incident-reporter-app/-/merge_requests/1750", "feat: render independent checks and sections in online library document")</f>
        <v/>
      </c>
      <c r="G2108" t="inlineStr">
        <is>
          <t>feat/render-library-sections</t>
        </is>
      </c>
      <c r="H2108" t="inlineStr">
        <is>
          <t>sprint-17</t>
        </is>
      </c>
      <c r="I2108" t="inlineStr">
        <is>
          <t>merged</t>
        </is>
      </c>
      <c r="J2108" t="inlineStr">
        <is>
          <t>8d602c1272a6f145ac754ec5b1823cb8bceab1f0</t>
        </is>
      </c>
      <c r="K2108">
        <f>HYPERLINK("http://gitlab.osmosys.co/incident-reporter/incident-reporter-app/-/merge_requests/1750#note_234743", "this is the legacy code which needed to be fix properly, please check the task description for additional notes and the comment link attached there")</f>
        <v/>
      </c>
      <c r="L2108" t="inlineStr">
        <is>
          <t>2025-07-11 00:29:46.333 IST</t>
        </is>
      </c>
      <c r="M2108" t="inlineStr">
        <is>
          <t>Hitesh Kandpal</t>
        </is>
      </c>
      <c r="N2108" t="inlineStr">
        <is>
          <t>No</t>
        </is>
      </c>
      <c r="O2108" t="inlineStr">
        <is>
          <t>Yes</t>
        </is>
      </c>
      <c r="P2108" t="inlineStr">
        <is>
          <t>Raj Kumar</t>
        </is>
      </c>
      <c r="Q2108" t="inlineStr">
        <is>
          <t>Bad</t>
        </is>
      </c>
    </row>
    <row r="2109">
      <c r="A2109" t="inlineStr">
        <is>
          <t>hitesh.k</t>
        </is>
      </c>
      <c r="B2109" t="inlineStr">
        <is>
          <t>Hitesh Kandpal</t>
        </is>
      </c>
      <c r="C2109" t="inlineStr">
        <is>
          <t>hitesh.k@osmosys.co</t>
        </is>
      </c>
      <c r="D2109" t="inlineStr">
        <is>
          <t>incident-reporter</t>
        </is>
      </c>
      <c r="E2109">
        <f>HYPERLINK("http://gitlab.osmosys.co/incident-reporter/incident-reporter-app", "OQSHA Mobile App")</f>
        <v/>
      </c>
      <c r="F2109">
        <f>HYPERLINK("http://gitlab.osmosys.co/incident-reporter/incident-reporter-app/-/merge_requests/1750", "feat: render independent checks and sections in online library document")</f>
        <v/>
      </c>
      <c r="G2109" t="inlineStr">
        <is>
          <t>feat/render-library-sections</t>
        </is>
      </c>
      <c r="H2109" t="inlineStr">
        <is>
          <t>sprint-17</t>
        </is>
      </c>
      <c r="I2109" t="inlineStr">
        <is>
          <t>merged</t>
        </is>
      </c>
      <c r="J2109" t="inlineStr">
        <is>
          <t>b5ad34bf5e9cae2b953a4dcbbc7e97ac80c10bba</t>
        </is>
      </c>
      <c r="K2109">
        <f>HYPERLINK("http://gitlab.osmosys.co/incident-reporter/incident-reporter-app/-/merge_requests/1750#note_234637", "Why is this such a huge file? Did you copy-paste it from somewhere? Even if you have, have you checked and removed the stuff that is NOT needed?")</f>
        <v/>
      </c>
      <c r="L2109" t="inlineStr">
        <is>
          <t>2025-07-10 23:37:44.610 IST</t>
        </is>
      </c>
      <c r="M2109" t="inlineStr">
        <is>
          <t>Sameer Shaik</t>
        </is>
      </c>
      <c r="N2109" t="inlineStr">
        <is>
          <t>Yes</t>
        </is>
      </c>
      <c r="O2109" t="inlineStr">
        <is>
          <t>Yes</t>
        </is>
      </c>
      <c r="P2109" t="inlineStr">
        <is>
          <t>Raj Kumar</t>
        </is>
      </c>
      <c r="Q2109" t="inlineStr">
        <is>
          <t>Neutral</t>
        </is>
      </c>
    </row>
    <row r="2110">
      <c r="A2110" t="inlineStr">
        <is>
          <t>hitesh.k</t>
        </is>
      </c>
      <c r="B2110" t="inlineStr">
        <is>
          <t>Hitesh Kandpal</t>
        </is>
      </c>
      <c r="C2110" t="inlineStr">
        <is>
          <t>hitesh.k@osmosys.co</t>
        </is>
      </c>
      <c r="D2110" t="inlineStr">
        <is>
          <t>incident-reporter</t>
        </is>
      </c>
      <c r="E2110">
        <f>HYPERLINK("http://gitlab.osmosys.co/incident-reporter/incident-reporter-app", "OQSHA Mobile App")</f>
        <v/>
      </c>
      <c r="F2110">
        <f>HYPERLINK("http://gitlab.osmosys.co/incident-reporter/incident-reporter-app/-/merge_requests/1750", "feat: render independent checks and sections in online library document")</f>
        <v/>
      </c>
      <c r="G2110" t="inlineStr">
        <is>
          <t>feat/render-library-sections</t>
        </is>
      </c>
      <c r="H2110" t="inlineStr">
        <is>
          <t>sprint-17</t>
        </is>
      </c>
      <c r="I2110" t="inlineStr">
        <is>
          <t>merged</t>
        </is>
      </c>
      <c r="J2110" t="inlineStr">
        <is>
          <t>b5ad34bf5e9cae2b953a4dcbbc7e97ac80c10bba</t>
        </is>
      </c>
      <c r="K2110">
        <f>HYPERLINK("http://gitlab.osmosys.co/incident-reporter/incident-reporter-app/-/merge_requests/1750#note_234749", "this is a common control file for rendering checks
for this module we didn't needed equation, matrix or signature type so i removed al the code related to that and changed the naming")</f>
        <v/>
      </c>
      <c r="L2110" t="inlineStr">
        <is>
          <t>2025-07-11 00:30:48.405 IST</t>
        </is>
      </c>
      <c r="M2110" t="inlineStr">
        <is>
          <t>Hitesh Kandpal</t>
        </is>
      </c>
      <c r="N2110" t="inlineStr">
        <is>
          <t>No</t>
        </is>
      </c>
      <c r="O2110" t="inlineStr">
        <is>
          <t>Yes</t>
        </is>
      </c>
      <c r="P2110" t="inlineStr">
        <is>
          <t>Raj Kumar</t>
        </is>
      </c>
      <c r="Q2110" t="inlineStr">
        <is>
          <t>Neutral</t>
        </is>
      </c>
    </row>
    <row r="2111">
      <c r="A2111" t="inlineStr">
        <is>
          <t>hitesh.k</t>
        </is>
      </c>
      <c r="B2111" t="inlineStr">
        <is>
          <t>Hitesh Kandpal</t>
        </is>
      </c>
      <c r="C2111" t="inlineStr">
        <is>
          <t>hitesh.k@osmosys.co</t>
        </is>
      </c>
      <c r="D2111" t="inlineStr">
        <is>
          <t>incident-reporter</t>
        </is>
      </c>
      <c r="E2111">
        <f>HYPERLINK("http://gitlab.osmosys.co/incident-reporter/incident-reporter-app", "OQSHA Mobile App")</f>
        <v/>
      </c>
      <c r="F2111">
        <f>HYPERLINK("http://gitlab.osmosys.co/incident-reporter/incident-reporter-app/-/merge_requests/1750", "feat: render independent checks and sections in online library document")</f>
        <v/>
      </c>
      <c r="G2111" t="inlineStr">
        <is>
          <t>feat/render-library-sections</t>
        </is>
      </c>
      <c r="H2111" t="inlineStr">
        <is>
          <t>sprint-17</t>
        </is>
      </c>
      <c r="I2111" t="inlineStr">
        <is>
          <t>merged</t>
        </is>
      </c>
      <c r="J2111" t="inlineStr">
        <is>
          <t>7906669f2032bb6c41d93bad9726218212a13c64</t>
        </is>
      </c>
      <c r="K2111">
        <f>HYPERLINK("http://gitlab.osmosys.co/incident-reporter/incident-reporter-app/-/merge_requests/1750#note_234638", "Why is ptwService and inspectionService needed here?")</f>
        <v/>
      </c>
      <c r="L2111" t="inlineStr">
        <is>
          <t>2025-07-10 23:37:44.682 IST</t>
        </is>
      </c>
      <c r="M2111" t="inlineStr">
        <is>
          <t>Sameer Shaik</t>
        </is>
      </c>
      <c r="N2111" t="inlineStr">
        <is>
          <t>Yes</t>
        </is>
      </c>
      <c r="O2111" t="inlineStr">
        <is>
          <t>Yes</t>
        </is>
      </c>
      <c r="P2111" t="inlineStr">
        <is>
          <t>Raj Kumar</t>
        </is>
      </c>
      <c r="Q2111" t="inlineStr">
        <is>
          <t>Neutral</t>
        </is>
      </c>
    </row>
    <row r="2112">
      <c r="A2112" t="inlineStr">
        <is>
          <t>hitesh.k</t>
        </is>
      </c>
      <c r="B2112" t="inlineStr">
        <is>
          <t>Hitesh Kandpal</t>
        </is>
      </c>
      <c r="C2112" t="inlineStr">
        <is>
          <t>hitesh.k@osmosys.co</t>
        </is>
      </c>
      <c r="D2112" t="inlineStr">
        <is>
          <t>incident-reporter</t>
        </is>
      </c>
      <c r="E2112">
        <f>HYPERLINK("http://gitlab.osmosys.co/incident-reporter/incident-reporter-app", "OQSHA Mobile App")</f>
        <v/>
      </c>
      <c r="F2112">
        <f>HYPERLINK("http://gitlab.osmosys.co/incident-reporter/incident-reporter-app/-/merge_requests/1750", "feat: render independent checks and sections in online library document")</f>
        <v/>
      </c>
      <c r="G2112" t="inlineStr">
        <is>
          <t>feat/render-library-sections</t>
        </is>
      </c>
      <c r="H2112" t="inlineStr">
        <is>
          <t>sprint-17</t>
        </is>
      </c>
      <c r="I2112" t="inlineStr">
        <is>
          <t>merged</t>
        </is>
      </c>
      <c r="J2112" t="inlineStr">
        <is>
          <t>7906669f2032bb6c41d93bad9726218212a13c64</t>
        </is>
      </c>
      <c r="K2112">
        <f>HYPERLINK("http://gitlab.osmosys.co/incident-reporter/incident-reporter-app/-/merge_requests/1750#note_234752", "some common code are written in ptwservice file for sections rendering, that's why it is needed, again it's followed in every component")</f>
        <v/>
      </c>
      <c r="L2112" t="inlineStr">
        <is>
          <t>2025-07-11 00:32:13.796 IST</t>
        </is>
      </c>
      <c r="M2112" t="inlineStr">
        <is>
          <t>Hitesh Kandpal</t>
        </is>
      </c>
      <c r="N2112" t="inlineStr">
        <is>
          <t>No</t>
        </is>
      </c>
      <c r="O2112" t="inlineStr">
        <is>
          <t>Yes</t>
        </is>
      </c>
      <c r="P2112" t="inlineStr">
        <is>
          <t>Raj Kumar</t>
        </is>
      </c>
      <c r="Q2112" t="inlineStr">
        <is>
          <t>Neutral</t>
        </is>
      </c>
    </row>
    <row r="2113">
      <c r="A2113" t="inlineStr">
        <is>
          <t>hitesh.k</t>
        </is>
      </c>
      <c r="B2113" t="inlineStr">
        <is>
          <t>Hitesh Kandpal</t>
        </is>
      </c>
      <c r="C2113" t="inlineStr">
        <is>
          <t>hitesh.k@osmosys.co</t>
        </is>
      </c>
      <c r="D2113" t="inlineStr">
        <is>
          <t>incident-reporter</t>
        </is>
      </c>
      <c r="E2113">
        <f>HYPERLINK("http://gitlab.osmosys.co/incident-reporter/incident-reporter-app", "OQSHA Mobile App")</f>
        <v/>
      </c>
      <c r="F2113">
        <f>HYPERLINK("http://gitlab.osmosys.co/incident-reporter/incident-reporter-app/-/merge_requests/1750", "feat: render independent checks and sections in online library document")</f>
        <v/>
      </c>
      <c r="G2113" t="inlineStr">
        <is>
          <t>feat/render-library-sections</t>
        </is>
      </c>
      <c r="H2113" t="inlineStr">
        <is>
          <t>sprint-17</t>
        </is>
      </c>
      <c r="I2113" t="inlineStr">
        <is>
          <t>merged</t>
        </is>
      </c>
      <c r="J2113" t="inlineStr">
        <is>
          <t>dff8eb1b4ad63fff77ad1686597185e1c5f942da</t>
        </is>
      </c>
      <c r="K2113">
        <f>HYPERLINK("http://gitlab.osmosys.co/incident-reporter/incident-reporter-app/-/merge_requests/1750#note_234639", "Why is something related to Inspection needed here?")</f>
        <v/>
      </c>
      <c r="L2113" t="inlineStr">
        <is>
          <t>2025-07-10 23:37:44.759 IST</t>
        </is>
      </c>
      <c r="M2113" t="inlineStr">
        <is>
          <t>Sameer Shaik</t>
        </is>
      </c>
      <c r="N2113" t="inlineStr">
        <is>
          <t>Yes</t>
        </is>
      </c>
      <c r="O2113" t="inlineStr">
        <is>
          <t>Yes</t>
        </is>
      </c>
      <c r="P2113" t="inlineStr">
        <is>
          <t>Raj Kumar</t>
        </is>
      </c>
      <c r="Q2113" t="inlineStr">
        <is>
          <t>Bad</t>
        </is>
      </c>
    </row>
    <row r="2114">
      <c r="A2114" t="inlineStr">
        <is>
          <t>hitesh.k</t>
        </is>
      </c>
      <c r="B2114" t="inlineStr">
        <is>
          <t>Hitesh Kandpal</t>
        </is>
      </c>
      <c r="C2114" t="inlineStr">
        <is>
          <t>hitesh.k@osmosys.co</t>
        </is>
      </c>
      <c r="D2114" t="inlineStr">
        <is>
          <t>incident-reporter</t>
        </is>
      </c>
      <c r="E2114">
        <f>HYPERLINK("http://gitlab.osmosys.co/incident-reporter/incident-reporter-app", "OQSHA Mobile App")</f>
        <v/>
      </c>
      <c r="F2114">
        <f>HYPERLINK("http://gitlab.osmosys.co/incident-reporter/incident-reporter-app/-/merge_requests/1750", "feat: render independent checks and sections in online library document")</f>
        <v/>
      </c>
      <c r="G2114" t="inlineStr">
        <is>
          <t>feat/render-library-sections</t>
        </is>
      </c>
      <c r="H2114" t="inlineStr">
        <is>
          <t>sprint-17</t>
        </is>
      </c>
      <c r="I2114" t="inlineStr">
        <is>
          <t>merged</t>
        </is>
      </c>
      <c r="J2114" t="inlineStr">
        <is>
          <t>dff8eb1b4ad63fff77ad1686597185e1c5f942da</t>
        </is>
      </c>
      <c r="K2114">
        <f>HYPERLINK("http://gitlab.osmosys.co/incident-reporter/incident-reporter-app/-/merge_requests/1750#note_234782", "updated it and moved interface to library file")</f>
        <v/>
      </c>
      <c r="L2114" t="inlineStr">
        <is>
          <t>2025-07-11 00:34:30.074 IST</t>
        </is>
      </c>
      <c r="M2114" t="inlineStr">
        <is>
          <t>Hitesh Kandpal</t>
        </is>
      </c>
      <c r="N2114" t="inlineStr">
        <is>
          <t>No</t>
        </is>
      </c>
      <c r="O2114" t="inlineStr">
        <is>
          <t>Yes</t>
        </is>
      </c>
      <c r="P2114" t="inlineStr">
        <is>
          <t>Raj Kumar</t>
        </is>
      </c>
      <c r="Q2114" t="inlineStr">
        <is>
          <t>Bad</t>
        </is>
      </c>
    </row>
    <row r="2115">
      <c r="A2115" t="inlineStr">
        <is>
          <t>hitesh.k</t>
        </is>
      </c>
      <c r="B2115" t="inlineStr">
        <is>
          <t>Hitesh Kandpal</t>
        </is>
      </c>
      <c r="C2115" t="inlineStr">
        <is>
          <t>hitesh.k@osmosys.co</t>
        </is>
      </c>
      <c r="D2115" t="inlineStr">
        <is>
          <t>incident-reporter</t>
        </is>
      </c>
      <c r="E2115">
        <f>HYPERLINK("http://gitlab.osmosys.co/incident-reporter/incident-reporter-app", "OQSHA Mobile App")</f>
        <v/>
      </c>
      <c r="F2115">
        <f>HYPERLINK("http://gitlab.osmosys.co/incident-reporter/incident-reporter-app/-/merge_requests/1750", "feat: render independent checks and sections in online library document")</f>
        <v/>
      </c>
      <c r="G2115" t="inlineStr">
        <is>
          <t>feat/render-library-sections</t>
        </is>
      </c>
      <c r="H2115" t="inlineStr">
        <is>
          <t>sprint-17</t>
        </is>
      </c>
      <c r="I2115" t="inlineStr">
        <is>
          <t>merged</t>
        </is>
      </c>
      <c r="J2115" t="inlineStr">
        <is>
          <t>e4cd544af5405eee62946a8acc8bb719b62c667d</t>
        </is>
      </c>
      <c r="K2115">
        <f>HYPERLINK("http://gitlab.osmosys.co/incident-reporter/incident-reporter-app/-/merge_requests/1750#note_234643", "The screenshot added is not enough.")</f>
        <v/>
      </c>
      <c r="L2115" t="inlineStr">
        <is>
          <t>2025-07-10 23:40:16.199 IST</t>
        </is>
      </c>
      <c r="M2115" t="inlineStr">
        <is>
          <t>Sameer Shaik</t>
        </is>
      </c>
      <c r="N2115" t="inlineStr">
        <is>
          <t>Yes</t>
        </is>
      </c>
      <c r="O2115" t="inlineStr">
        <is>
          <t>Yes</t>
        </is>
      </c>
      <c r="P2115" t="inlineStr">
        <is>
          <t>Raj Kumar</t>
        </is>
      </c>
      <c r="Q2115" t="inlineStr">
        <is>
          <t>Bad</t>
        </is>
      </c>
    </row>
    <row r="2116">
      <c r="A2116" t="inlineStr">
        <is>
          <t>hitesh.k</t>
        </is>
      </c>
      <c r="B2116" t="inlineStr">
        <is>
          <t>Hitesh Kandpal</t>
        </is>
      </c>
      <c r="C2116" t="inlineStr">
        <is>
          <t>hitesh.k@osmosys.co</t>
        </is>
      </c>
      <c r="D2116" t="inlineStr">
        <is>
          <t>incident-reporter</t>
        </is>
      </c>
      <c r="E2116">
        <f>HYPERLINK("http://gitlab.osmosys.co/incident-reporter/incident-reporter-app", "OQSHA Mobile App")</f>
        <v/>
      </c>
      <c r="F2116">
        <f>HYPERLINK("http://gitlab.osmosys.co/incident-reporter/incident-reporter-app/-/merge_requests/1750", "feat: render independent checks and sections in online library document")</f>
        <v/>
      </c>
      <c r="G2116" t="inlineStr">
        <is>
          <t>feat/render-library-sections</t>
        </is>
      </c>
      <c r="H2116" t="inlineStr">
        <is>
          <t>sprint-17</t>
        </is>
      </c>
      <c r="I2116" t="inlineStr">
        <is>
          <t>merged</t>
        </is>
      </c>
      <c r="J2116" t="inlineStr">
        <is>
          <t>e4cd544af5405eee62946a8acc8bb719b62c667d</t>
        </is>
      </c>
      <c r="K2116">
        <f>HYPERLINK("http://gitlab.osmosys.co/incident-reporter/incident-reporter-app/-/merge_requests/1750#note_234801", "added some more SS for section rendering
note: in last SS 'save' button is coming instead of 'next' button because that's the last section, it's not a typo it was intended")</f>
        <v/>
      </c>
      <c r="L2116" t="inlineStr">
        <is>
          <t>2025-07-11 00:45:18.998 IST</t>
        </is>
      </c>
      <c r="M2116" t="inlineStr">
        <is>
          <t>Hitesh Kandpal</t>
        </is>
      </c>
      <c r="N2116" t="inlineStr">
        <is>
          <t>No</t>
        </is>
      </c>
      <c r="O2116" t="inlineStr">
        <is>
          <t>Yes</t>
        </is>
      </c>
      <c r="P2116" t="inlineStr">
        <is>
          <t>Raj Kumar</t>
        </is>
      </c>
      <c r="Q2116" t="inlineStr">
        <is>
          <t>Bad</t>
        </is>
      </c>
    </row>
    <row r="2117">
      <c r="A2117" t="inlineStr">
        <is>
          <t>hitesh.k</t>
        </is>
      </c>
      <c r="B2117" t="inlineStr">
        <is>
          <t>Hitesh Kandpal</t>
        </is>
      </c>
      <c r="C2117" t="inlineStr">
        <is>
          <t>hitesh.k@osmosys.co</t>
        </is>
      </c>
      <c r="D2117" t="inlineStr">
        <is>
          <t>incident-reporter</t>
        </is>
      </c>
      <c r="E2117">
        <f>HYPERLINK("http://gitlab.osmosys.co/incident-reporter/incident-reporter-app", "OQSHA Mobile App")</f>
        <v/>
      </c>
      <c r="F2117">
        <f>HYPERLINK("http://gitlab.osmosys.co/incident-reporter/incident-reporter-app/-/merge_requests/1742", "fix: remove hardcode status id")</f>
        <v/>
      </c>
      <c r="G2117" t="inlineStr">
        <is>
          <t>fix/update-status-id</t>
        </is>
      </c>
      <c r="H2117" t="inlineStr">
        <is>
          <t>sprint-16</t>
        </is>
      </c>
      <c r="I2117" t="inlineStr">
        <is>
          <t>merged</t>
        </is>
      </c>
      <c r="J2117" t="inlineStr"/>
      <c r="K2117" t="inlineStr"/>
      <c r="L2117" t="inlineStr"/>
      <c r="M2117" t="inlineStr"/>
      <c r="N2117" t="inlineStr"/>
      <c r="O2117" t="inlineStr"/>
      <c r="P2117" t="inlineStr"/>
      <c r="Q2117" t="inlineStr"/>
    </row>
    <row r="2118">
      <c r="A2118" t="inlineStr">
        <is>
          <t>hitesh.k</t>
        </is>
      </c>
      <c r="B2118" t="inlineStr">
        <is>
          <t>Hitesh Kandpal</t>
        </is>
      </c>
      <c r="C2118" t="inlineStr">
        <is>
          <t>hitesh.k@osmosys.co</t>
        </is>
      </c>
      <c r="D2118" t="inlineStr">
        <is>
          <t>incident-reporter</t>
        </is>
      </c>
      <c r="E2118">
        <f>HYPERLINK("http://gitlab.osmosys.co/incident-reporter/incident-reporter-app", "OQSHA Mobile App")</f>
        <v/>
      </c>
      <c r="F2118">
        <f>HYPERLINK("http://gitlab.osmosys.co/incident-reporter/incident-reporter-app/-/merge_requests/1739", "fix: update api keys")</f>
        <v/>
      </c>
      <c r="G2118" t="inlineStr">
        <is>
          <t>fix/update-keys</t>
        </is>
      </c>
      <c r="H2118" t="inlineStr">
        <is>
          <t>sprint-16</t>
        </is>
      </c>
      <c r="I2118" t="inlineStr">
        <is>
          <t>merged</t>
        </is>
      </c>
      <c r="J2118" t="inlineStr"/>
      <c r="K2118" t="inlineStr"/>
      <c r="L2118" t="inlineStr"/>
      <c r="M2118" t="inlineStr"/>
      <c r="N2118" t="inlineStr"/>
      <c r="O2118" t="inlineStr"/>
      <c r="P2118" t="inlineStr"/>
      <c r="Q2118" t="inlineStr"/>
    </row>
    <row r="2119">
      <c r="A2119" t="inlineStr">
        <is>
          <t>hitesh.k</t>
        </is>
      </c>
      <c r="B2119" t="inlineStr">
        <is>
          <t>Hitesh Kandpal</t>
        </is>
      </c>
      <c r="C2119" t="inlineStr">
        <is>
          <t>hitesh.k@osmosys.co</t>
        </is>
      </c>
      <c r="D2119" t="inlineStr">
        <is>
          <t>incident-reporter</t>
        </is>
      </c>
      <c r="E2119">
        <f>HYPERLINK("http://gitlab.osmosys.co/incident-reporter/incident-reporter-app", "OQSHA Mobile App")</f>
        <v/>
      </c>
      <c r="F2119">
        <f>HYPERLINK("http://gitlab.osmosys.co/incident-reporter/incident-reporter-app/-/merge_requests/1725", "fix: update api keys for different platforms")</f>
        <v/>
      </c>
      <c r="G2119" t="inlineStr">
        <is>
          <t>fix/update-keys</t>
        </is>
      </c>
      <c r="H2119" t="inlineStr">
        <is>
          <t>sprint-16</t>
        </is>
      </c>
      <c r="I2119" t="inlineStr">
        <is>
          <t>merged</t>
        </is>
      </c>
      <c r="J2119" t="inlineStr">
        <is>
          <t>3cb6c6950ced4e400e60277a9c62ffa307267ce8</t>
        </is>
      </c>
      <c r="K2119">
        <f>HYPERLINK("http://gitlab.osmosys.co/incident-reporter/incident-reporter-app/-/merge_requests/1725#note_230914", " This function logic repeats the same thing in 6 places, leading to code redundancy. Can you define this in a shared or common file and reuse it everywhere it is required?")</f>
        <v/>
      </c>
      <c r="L2119" t="inlineStr">
        <is>
          <t>2025-07-01 18:04:28.213 IST</t>
        </is>
      </c>
      <c r="M2119" t="inlineStr">
        <is>
          <t>Soundariya B</t>
        </is>
      </c>
      <c r="N2119" t="inlineStr">
        <is>
          <t>Yes</t>
        </is>
      </c>
      <c r="O2119" t="inlineStr">
        <is>
          <t>Yes</t>
        </is>
      </c>
      <c r="P2119" t="inlineStr">
        <is>
          <t>Soundariya B</t>
        </is>
      </c>
      <c r="Q2119" t="inlineStr">
        <is>
          <t>Bad</t>
        </is>
      </c>
    </row>
    <row r="2120">
      <c r="A2120" t="inlineStr">
        <is>
          <t>hitesh.k</t>
        </is>
      </c>
      <c r="B2120" t="inlineStr">
        <is>
          <t>Hitesh Kandpal</t>
        </is>
      </c>
      <c r="C2120" t="inlineStr">
        <is>
          <t>hitesh.k@osmosys.co</t>
        </is>
      </c>
      <c r="D2120" t="inlineStr">
        <is>
          <t>incident-reporter</t>
        </is>
      </c>
      <c r="E2120">
        <f>HYPERLINK("http://gitlab.osmosys.co/incident-reporter/incident-reporter-app", "OQSHA Mobile App")</f>
        <v/>
      </c>
      <c r="F2120">
        <f>HYPERLINK("http://gitlab.osmosys.co/incident-reporter/incident-reporter-app/-/merge_requests/1725", "fix: update api keys for different platforms")</f>
        <v/>
      </c>
      <c r="G2120" t="inlineStr">
        <is>
          <t>fix/update-keys</t>
        </is>
      </c>
      <c r="H2120" t="inlineStr">
        <is>
          <t>sprint-16</t>
        </is>
      </c>
      <c r="I2120" t="inlineStr">
        <is>
          <t>merged</t>
        </is>
      </c>
      <c r="J2120" t="inlineStr">
        <is>
          <t>3cb6c6950ced4e400e60277a9c62ffa307267ce8</t>
        </is>
      </c>
      <c r="K2120">
        <f>HYPERLINK("http://gitlab.osmosys.co/incident-reporter/incident-reporter-app/-/merge_requests/1725#note_230933", "done")</f>
        <v/>
      </c>
      <c r="L2120" t="inlineStr">
        <is>
          <t>2025-07-01 18:43:37.270 IST</t>
        </is>
      </c>
      <c r="M2120" t="inlineStr">
        <is>
          <t>Hitesh Kandpal</t>
        </is>
      </c>
      <c r="N2120" t="inlineStr">
        <is>
          <t>No</t>
        </is>
      </c>
      <c r="O2120" t="inlineStr">
        <is>
          <t>Yes</t>
        </is>
      </c>
      <c r="P2120" t="inlineStr">
        <is>
          <t>Soundariya B</t>
        </is>
      </c>
      <c r="Q2120" t="inlineStr">
        <is>
          <t>Bad</t>
        </is>
      </c>
    </row>
    <row r="2121">
      <c r="A2121" t="inlineStr">
        <is>
          <t>hitesh.k</t>
        </is>
      </c>
      <c r="B2121" t="inlineStr">
        <is>
          <t>Hitesh Kandpal</t>
        </is>
      </c>
      <c r="C2121" t="inlineStr">
        <is>
          <t>hitesh.k@osmosys.co</t>
        </is>
      </c>
      <c r="D2121" t="inlineStr">
        <is>
          <t>incident-reporter</t>
        </is>
      </c>
      <c r="E2121">
        <f>HYPERLINK("http://gitlab.osmosys.co/incident-reporter/incident-reporter-app", "OQSHA Mobile App")</f>
        <v/>
      </c>
      <c r="F2121">
        <f>HYPERLINK("http://gitlab.osmosys.co/incident-reporter/incident-reporter-app/-/merge_requests/1725", "fix: update api keys for different platforms")</f>
        <v/>
      </c>
      <c r="G2121" t="inlineStr">
        <is>
          <t>fix/update-keys</t>
        </is>
      </c>
      <c r="H2121" t="inlineStr">
        <is>
          <t>sprint-16</t>
        </is>
      </c>
      <c r="I2121" t="inlineStr">
        <is>
          <t>merged</t>
        </is>
      </c>
      <c r="J2121" t="inlineStr">
        <is>
          <t>3cb6c6950ced4e400e60277a9c62ffa307267ce8</t>
        </is>
      </c>
      <c r="K2121">
        <f>HYPERLINK("http://gitlab.osmosys.co/incident-reporter/incident-reporter-app/-/merge_requests/1725#note_230951", "Why are these lines of code also not included in the sharedService file in the single method? As these also repeating it 6 times
**const** url **=** \`{constants.mapApiUrl.BASE_URL}?key={**this**.apiKey}&amp;${constants.mapApiUrl.CALLBACK_PARAM}\`;
**const** node **=** document.**createElement**('script');
node.src **=** url;
node.**type** **=** 'text/javascript';
document.**getElementsByTagName**('head')\[0\].**appendChild**(node);")</f>
        <v/>
      </c>
      <c r="L2121" t="inlineStr">
        <is>
          <t>2025-07-01 20:22:31.785 IST</t>
        </is>
      </c>
      <c r="M2121" t="inlineStr">
        <is>
          <t>Soundariya B</t>
        </is>
      </c>
      <c r="N2121" t="inlineStr">
        <is>
          <t>Yes</t>
        </is>
      </c>
      <c r="O2121" t="inlineStr">
        <is>
          <t>Yes</t>
        </is>
      </c>
      <c r="P2121" t="inlineStr">
        <is>
          <t>Soundariya B</t>
        </is>
      </c>
      <c r="Q2121" t="inlineStr">
        <is>
          <t>Bad</t>
        </is>
      </c>
    </row>
    <row r="2122">
      <c r="A2122" t="inlineStr">
        <is>
          <t>hitesh.k</t>
        </is>
      </c>
      <c r="B2122" t="inlineStr">
        <is>
          <t>Hitesh Kandpal</t>
        </is>
      </c>
      <c r="C2122" t="inlineStr">
        <is>
          <t>hitesh.k@osmosys.co</t>
        </is>
      </c>
      <c r="D2122" t="inlineStr">
        <is>
          <t>incident-reporter</t>
        </is>
      </c>
      <c r="E2122">
        <f>HYPERLINK("http://gitlab.osmosys.co/incident-reporter/incident-reporter-app", "OQSHA Mobile App")</f>
        <v/>
      </c>
      <c r="F2122">
        <f>HYPERLINK("http://gitlab.osmosys.co/incident-reporter/incident-reporter-app/-/merge_requests/1725", "fix: update api keys for different platforms")</f>
        <v/>
      </c>
      <c r="G2122" t="inlineStr">
        <is>
          <t>fix/update-keys</t>
        </is>
      </c>
      <c r="H2122" t="inlineStr">
        <is>
          <t>sprint-16</t>
        </is>
      </c>
      <c r="I2122" t="inlineStr">
        <is>
          <t>merged</t>
        </is>
      </c>
      <c r="J2122" t="inlineStr">
        <is>
          <t>3cb6c6950ced4e400e60277a9c62ffa307267ce8</t>
        </is>
      </c>
      <c r="K2122">
        <f>HYPERLINK("http://gitlab.osmosys.co/incident-reporter/incident-reporter-app/-/merge_requests/1725#note_230979", "Yeah, I get that this could be moved into a helper function. I just felt that since each place has slightly different context — like platform checks or lifecycle hooks — it’s a bit cleaner to keep it inline for now. It’s been working fine like this from the start, and since it’s tied to DOM loading and Google Maps script injection, I didn’t want to risk breaking the map loading by changing too much at once beacause this have happened in past while working with geofencing. For the new logic around API keys, I’ve already moved that into a separate function.")</f>
        <v/>
      </c>
      <c r="L2122" t="inlineStr">
        <is>
          <t>2025-07-01 21:52:30.149 IST</t>
        </is>
      </c>
      <c r="M2122" t="inlineStr">
        <is>
          <t>Hitesh Kandpal</t>
        </is>
      </c>
      <c r="N2122" t="inlineStr">
        <is>
          <t>No</t>
        </is>
      </c>
      <c r="O2122" t="inlineStr">
        <is>
          <t>Yes</t>
        </is>
      </c>
      <c r="P2122" t="inlineStr">
        <is>
          <t>Soundariya B</t>
        </is>
      </c>
      <c r="Q2122" t="inlineStr">
        <is>
          <t>Bad</t>
        </is>
      </c>
    </row>
    <row r="2123">
      <c r="A2123" t="inlineStr">
        <is>
          <t>hitesh.k</t>
        </is>
      </c>
      <c r="B2123" t="inlineStr">
        <is>
          <t>Hitesh Kandpal</t>
        </is>
      </c>
      <c r="C2123" t="inlineStr">
        <is>
          <t>hitesh.k@osmosys.co</t>
        </is>
      </c>
      <c r="D2123" t="inlineStr">
        <is>
          <t>incident-reporter</t>
        </is>
      </c>
      <c r="E2123">
        <f>HYPERLINK("http://gitlab.osmosys.co/incident-reporter/incident-reporter-app", "OQSHA Mobile App")</f>
        <v/>
      </c>
      <c r="F2123">
        <f>HYPERLINK("http://gitlab.osmosys.co/incident-reporter/incident-reporter-app/-/merge_requests/1725", "fix: update api keys for different platforms")</f>
        <v/>
      </c>
      <c r="G2123" t="inlineStr">
        <is>
          <t>fix/update-keys</t>
        </is>
      </c>
      <c r="H2123" t="inlineStr">
        <is>
          <t>sprint-16</t>
        </is>
      </c>
      <c r="I2123" t="inlineStr">
        <is>
          <t>merged</t>
        </is>
      </c>
      <c r="J2123" t="inlineStr">
        <is>
          <t>dd1eb1762f90d2c5ebff4c0d79ac24bed0c8c839</t>
        </is>
      </c>
      <c r="K2123">
        <f>HYPERLINK("http://gitlab.osmosys.co/incident-reporter/incident-reporter-app/-/merge_requests/1725#note_230915", "This function logic repeats the same thing in 6 places, leading to code redundancy. Can you define this in a shared or common file and reuse it everywhere it is required?")</f>
        <v/>
      </c>
      <c r="L2123" t="inlineStr">
        <is>
          <t>2025-07-01 18:04:28.307 IST</t>
        </is>
      </c>
      <c r="M2123" t="inlineStr">
        <is>
          <t>Soundariya B</t>
        </is>
      </c>
      <c r="N2123" t="inlineStr">
        <is>
          <t>Yes</t>
        </is>
      </c>
      <c r="O2123" t="inlineStr">
        <is>
          <t>Yes</t>
        </is>
      </c>
      <c r="P2123" t="inlineStr">
        <is>
          <t>Soundariya B</t>
        </is>
      </c>
      <c r="Q2123" t="inlineStr">
        <is>
          <t>Bad</t>
        </is>
      </c>
    </row>
    <row r="2124">
      <c r="A2124" t="inlineStr">
        <is>
          <t>hitesh.k</t>
        </is>
      </c>
      <c r="B2124" t="inlineStr">
        <is>
          <t>Hitesh Kandpal</t>
        </is>
      </c>
      <c r="C2124" t="inlineStr">
        <is>
          <t>hitesh.k@osmosys.co</t>
        </is>
      </c>
      <c r="D2124" t="inlineStr">
        <is>
          <t>incident-reporter</t>
        </is>
      </c>
      <c r="E2124">
        <f>HYPERLINK("http://gitlab.osmosys.co/incident-reporter/incident-reporter-app", "OQSHA Mobile App")</f>
        <v/>
      </c>
      <c r="F2124">
        <f>HYPERLINK("http://gitlab.osmosys.co/incident-reporter/incident-reporter-app/-/merge_requests/1725", "fix: update api keys for different platforms")</f>
        <v/>
      </c>
      <c r="G2124" t="inlineStr">
        <is>
          <t>fix/update-keys</t>
        </is>
      </c>
      <c r="H2124" t="inlineStr">
        <is>
          <t>sprint-16</t>
        </is>
      </c>
      <c r="I2124" t="inlineStr">
        <is>
          <t>merged</t>
        </is>
      </c>
      <c r="J2124" t="inlineStr">
        <is>
          <t>dd1eb1762f90d2c5ebff4c0d79ac24bed0c8c839</t>
        </is>
      </c>
      <c r="K2124">
        <f>HYPERLINK("http://gitlab.osmosys.co/incident-reporter/incident-reporter-app/-/merge_requests/1725#note_230935", "done")</f>
        <v/>
      </c>
      <c r="L2124" t="inlineStr">
        <is>
          <t>2025-07-01 18:43:46.059 IST</t>
        </is>
      </c>
      <c r="M2124" t="inlineStr">
        <is>
          <t>Hitesh Kandpal</t>
        </is>
      </c>
      <c r="N2124" t="inlineStr">
        <is>
          <t>No</t>
        </is>
      </c>
      <c r="O2124" t="inlineStr">
        <is>
          <t>Yes</t>
        </is>
      </c>
      <c r="P2124" t="inlineStr">
        <is>
          <t>Soundariya B</t>
        </is>
      </c>
      <c r="Q2124" t="inlineStr">
        <is>
          <t>Bad</t>
        </is>
      </c>
    </row>
    <row r="2125">
      <c r="A2125" t="inlineStr">
        <is>
          <t>hitesh.k</t>
        </is>
      </c>
      <c r="B2125" t="inlineStr">
        <is>
          <t>Hitesh Kandpal</t>
        </is>
      </c>
      <c r="C2125" t="inlineStr">
        <is>
          <t>hitesh.k@osmosys.co</t>
        </is>
      </c>
      <c r="D2125" t="inlineStr">
        <is>
          <t>incident-reporter</t>
        </is>
      </c>
      <c r="E2125">
        <f>HYPERLINK("http://gitlab.osmosys.co/incident-reporter/incident-reporter-app", "OQSHA Mobile App")</f>
        <v/>
      </c>
      <c r="F2125">
        <f>HYPERLINK("http://gitlab.osmosys.co/incident-reporter/incident-reporter-app/-/merge_requests/1725", "fix: update api keys for different platforms")</f>
        <v/>
      </c>
      <c r="G2125" t="inlineStr">
        <is>
          <t>fix/update-keys</t>
        </is>
      </c>
      <c r="H2125" t="inlineStr">
        <is>
          <t>sprint-16</t>
        </is>
      </c>
      <c r="I2125" t="inlineStr">
        <is>
          <t>merged</t>
        </is>
      </c>
      <c r="J2125" t="inlineStr">
        <is>
          <t>dd1eb1762f90d2c5ebff4c0d79ac24bed0c8c839</t>
        </is>
      </c>
      <c r="K2125">
        <f>HYPERLINK("http://gitlab.osmosys.co/incident-reporter/incident-reporter-app/-/merge_requests/1725#note_230949", "Why are these lines of code also not included in the sharedService file in the single method? As these also repeating it 6 times
**const** url **=** \`${constants.mapApiUrl.BASE_URL}?key=${**this**.apiKey}&amp;${constants.mapApiUrl.CALLBACK_PARAM}\`; 
**const** node **=** document.**createElement**('script'); 
node.src **=** url; 
node.**type** **=** 'text/javascript'; 
document.**getElementsByTagName**('head')\[0\].**appendChild**(node);")</f>
        <v/>
      </c>
      <c r="L2125" t="inlineStr">
        <is>
          <t>2025-07-01 20:21:58.771 IST</t>
        </is>
      </c>
      <c r="M2125" t="inlineStr">
        <is>
          <t>Soundariya B</t>
        </is>
      </c>
      <c r="N2125" t="inlineStr">
        <is>
          <t>Yes</t>
        </is>
      </c>
      <c r="O2125" t="inlineStr">
        <is>
          <t>Yes</t>
        </is>
      </c>
      <c r="P2125" t="inlineStr">
        <is>
          <t>Soundariya B</t>
        </is>
      </c>
      <c r="Q2125" t="inlineStr">
        <is>
          <t>Bad</t>
        </is>
      </c>
    </row>
    <row r="2126">
      <c r="A2126" t="inlineStr">
        <is>
          <t>hitesh.k</t>
        </is>
      </c>
      <c r="B2126" t="inlineStr">
        <is>
          <t>Hitesh Kandpal</t>
        </is>
      </c>
      <c r="C2126" t="inlineStr">
        <is>
          <t>hitesh.k@osmosys.co</t>
        </is>
      </c>
      <c r="D2126" t="inlineStr">
        <is>
          <t>incident-reporter</t>
        </is>
      </c>
      <c r="E2126">
        <f>HYPERLINK("http://gitlab.osmosys.co/incident-reporter/incident-reporter-app", "OQSHA Mobile App")</f>
        <v/>
      </c>
      <c r="F2126">
        <f>HYPERLINK("http://gitlab.osmosys.co/incident-reporter/incident-reporter-app/-/merge_requests/1725", "fix: update api keys for different platforms")</f>
        <v/>
      </c>
      <c r="G2126" t="inlineStr">
        <is>
          <t>fix/update-keys</t>
        </is>
      </c>
      <c r="H2126" t="inlineStr">
        <is>
          <t>sprint-16</t>
        </is>
      </c>
      <c r="I2126" t="inlineStr">
        <is>
          <t>merged</t>
        </is>
      </c>
      <c r="J2126" t="inlineStr">
        <is>
          <t>dd1eb1762f90d2c5ebff4c0d79ac24bed0c8c839</t>
        </is>
      </c>
      <c r="K2126">
        <f>HYPERLINK("http://gitlab.osmosys.co/incident-reporter/incident-reporter-app/-/merge_requests/1725#note_230978", "Yeah, I get that this could be moved into a helper function. I just felt that since each place has slightly different context — like platform checks or lifecycle hooks — it’s a bit cleaner to keep it inline for now. It’s been working fine like this from the start, and since it’s tied to DOM loading and Google Maps script injection, I didn’t want to risk breaking the map loading by changing too much at once beacause this have happened in past while working with geofencing. For the new logic around API keys, I’ve already moved that into a separate function.")</f>
        <v/>
      </c>
      <c r="L2126" t="inlineStr">
        <is>
          <t>2025-07-01 21:52:21.834 IST</t>
        </is>
      </c>
      <c r="M2126" t="inlineStr">
        <is>
          <t>Hitesh Kandpal</t>
        </is>
      </c>
      <c r="N2126" t="inlineStr">
        <is>
          <t>No</t>
        </is>
      </c>
      <c r="O2126" t="inlineStr">
        <is>
          <t>Yes</t>
        </is>
      </c>
      <c r="P2126" t="inlineStr">
        <is>
          <t>Soundariya B</t>
        </is>
      </c>
      <c r="Q2126" t="inlineStr">
        <is>
          <t>Bad</t>
        </is>
      </c>
    </row>
    <row r="2127">
      <c r="A2127" t="inlineStr">
        <is>
          <t>hitesh.k</t>
        </is>
      </c>
      <c r="B2127" t="inlineStr">
        <is>
          <t>Hitesh Kandpal</t>
        </is>
      </c>
      <c r="C2127" t="inlineStr">
        <is>
          <t>hitesh.k@osmosys.co</t>
        </is>
      </c>
      <c r="D2127" t="inlineStr">
        <is>
          <t>incident-reporter</t>
        </is>
      </c>
      <c r="E2127">
        <f>HYPERLINK("http://gitlab.osmosys.co/incident-reporter/incident-reporter-app", "OQSHA Mobile App")</f>
        <v/>
      </c>
      <c r="F2127">
        <f>HYPERLINK("http://gitlab.osmosys.co/incident-reporter/incident-reporter-app/-/merge_requests/1725", "fix: update api keys for different platforms")</f>
        <v/>
      </c>
      <c r="G2127" t="inlineStr">
        <is>
          <t>fix/update-keys</t>
        </is>
      </c>
      <c r="H2127" t="inlineStr">
        <is>
          <t>sprint-16</t>
        </is>
      </c>
      <c r="I2127" t="inlineStr">
        <is>
          <t>merged</t>
        </is>
      </c>
      <c r="J2127" t="inlineStr">
        <is>
          <t>5801b3ea4b2b45e5d98d7cbf980a788ea132ee7d</t>
        </is>
      </c>
      <c r="K2127">
        <f>HYPERLINK("http://gitlab.osmosys.co/incident-reporter/incident-reporter-app/-/merge_requests/1725#note_230916", "This function logic repeats the same thing in 6 places, leading to code redundancy. Can you define this in a shared or common file and reuse it everywhere it is required?")</f>
        <v/>
      </c>
      <c r="L2127" t="inlineStr">
        <is>
          <t>2025-07-01 18:04:28.402 IST</t>
        </is>
      </c>
      <c r="M2127" t="inlineStr">
        <is>
          <t>Soundariya B</t>
        </is>
      </c>
      <c r="N2127" t="inlineStr">
        <is>
          <t>Yes</t>
        </is>
      </c>
      <c r="O2127" t="inlineStr">
        <is>
          <t>Yes</t>
        </is>
      </c>
      <c r="P2127" t="inlineStr">
        <is>
          <t>Soundariya B</t>
        </is>
      </c>
      <c r="Q2127" t="inlineStr">
        <is>
          <t>Bad</t>
        </is>
      </c>
    </row>
    <row r="2128">
      <c r="A2128" t="inlineStr">
        <is>
          <t>hitesh.k</t>
        </is>
      </c>
      <c r="B2128" t="inlineStr">
        <is>
          <t>Hitesh Kandpal</t>
        </is>
      </c>
      <c r="C2128" t="inlineStr">
        <is>
          <t>hitesh.k@osmosys.co</t>
        </is>
      </c>
      <c r="D2128" t="inlineStr">
        <is>
          <t>incident-reporter</t>
        </is>
      </c>
      <c r="E2128">
        <f>HYPERLINK("http://gitlab.osmosys.co/incident-reporter/incident-reporter-app", "OQSHA Mobile App")</f>
        <v/>
      </c>
      <c r="F2128">
        <f>HYPERLINK("http://gitlab.osmosys.co/incident-reporter/incident-reporter-app/-/merge_requests/1725", "fix: update api keys for different platforms")</f>
        <v/>
      </c>
      <c r="G2128" t="inlineStr">
        <is>
          <t>fix/update-keys</t>
        </is>
      </c>
      <c r="H2128" t="inlineStr">
        <is>
          <t>sprint-16</t>
        </is>
      </c>
      <c r="I2128" t="inlineStr">
        <is>
          <t>merged</t>
        </is>
      </c>
      <c r="J2128" t="inlineStr">
        <is>
          <t>5801b3ea4b2b45e5d98d7cbf980a788ea132ee7d</t>
        </is>
      </c>
      <c r="K2128">
        <f>HYPERLINK("http://gitlab.osmosys.co/incident-reporter/incident-reporter-app/-/merge_requests/1725#note_230934", "done")</f>
        <v/>
      </c>
      <c r="L2128" t="inlineStr">
        <is>
          <t>2025-07-01 18:43:41.896 IST</t>
        </is>
      </c>
      <c r="M2128" t="inlineStr">
        <is>
          <t>Hitesh Kandpal</t>
        </is>
      </c>
      <c r="N2128" t="inlineStr">
        <is>
          <t>No</t>
        </is>
      </c>
      <c r="O2128" t="inlineStr">
        <is>
          <t>Yes</t>
        </is>
      </c>
      <c r="P2128" t="inlineStr">
        <is>
          <t>Soundariya B</t>
        </is>
      </c>
      <c r="Q2128" t="inlineStr">
        <is>
          <t>Bad</t>
        </is>
      </c>
    </row>
    <row r="2129">
      <c r="A2129" t="inlineStr">
        <is>
          <t>hitesh.k</t>
        </is>
      </c>
      <c r="B2129" t="inlineStr">
        <is>
          <t>Hitesh Kandpal</t>
        </is>
      </c>
      <c r="C2129" t="inlineStr">
        <is>
          <t>hitesh.k@osmosys.co</t>
        </is>
      </c>
      <c r="D2129" t="inlineStr">
        <is>
          <t>incident-reporter</t>
        </is>
      </c>
      <c r="E2129">
        <f>HYPERLINK("http://gitlab.osmosys.co/incident-reporter/incident-reporter-app", "OQSHA Mobile App")</f>
        <v/>
      </c>
      <c r="F2129">
        <f>HYPERLINK("http://gitlab.osmosys.co/incident-reporter/incident-reporter-app/-/merge_requests/1725", "fix: update api keys for different platforms")</f>
        <v/>
      </c>
      <c r="G2129" t="inlineStr">
        <is>
          <t>fix/update-keys</t>
        </is>
      </c>
      <c r="H2129" t="inlineStr">
        <is>
          <t>sprint-16</t>
        </is>
      </c>
      <c r="I2129" t="inlineStr">
        <is>
          <t>merged</t>
        </is>
      </c>
      <c r="J2129" t="inlineStr">
        <is>
          <t>5801b3ea4b2b45e5d98d7cbf980a788ea132ee7d</t>
        </is>
      </c>
      <c r="K2129">
        <f>HYPERLINK("http://gitlab.osmosys.co/incident-reporter/incident-reporter-app/-/merge_requests/1725#note_230953", "Why are these lines of code also not included in the sharedService file in the single method? As these also repeating it 6 times
**const** url **=** \`{constants.mapApiUrl.BASE_URL}?key={**this**.apiKey}&amp;${constants.mapApiUrl.CALLBACK_PARAM}\`;
**const** node **=** document.**createElement**('script');
node.src **=** url;
node.**type** **=** 'text/javascript';
document.**getElementsByTagName**('head')\[0\].**appendChild**(node);")</f>
        <v/>
      </c>
      <c r="L2129" t="inlineStr">
        <is>
          <t>2025-07-01 20:23:07.220 IST</t>
        </is>
      </c>
      <c r="M2129" t="inlineStr">
        <is>
          <t>Soundariya B</t>
        </is>
      </c>
      <c r="N2129" t="inlineStr">
        <is>
          <t>Yes</t>
        </is>
      </c>
      <c r="O2129" t="inlineStr">
        <is>
          <t>Yes</t>
        </is>
      </c>
      <c r="P2129" t="inlineStr">
        <is>
          <t>Soundariya B</t>
        </is>
      </c>
      <c r="Q2129" t="inlineStr">
        <is>
          <t>Bad</t>
        </is>
      </c>
    </row>
    <row r="2130">
      <c r="A2130" t="inlineStr">
        <is>
          <t>hitesh.k</t>
        </is>
      </c>
      <c r="B2130" t="inlineStr">
        <is>
          <t>Hitesh Kandpal</t>
        </is>
      </c>
      <c r="C2130" t="inlineStr">
        <is>
          <t>hitesh.k@osmosys.co</t>
        </is>
      </c>
      <c r="D2130" t="inlineStr">
        <is>
          <t>incident-reporter</t>
        </is>
      </c>
      <c r="E2130">
        <f>HYPERLINK("http://gitlab.osmosys.co/incident-reporter/incident-reporter-app", "OQSHA Mobile App")</f>
        <v/>
      </c>
      <c r="F2130">
        <f>HYPERLINK("http://gitlab.osmosys.co/incident-reporter/incident-reporter-app/-/merge_requests/1725", "fix: update api keys for different platforms")</f>
        <v/>
      </c>
      <c r="G2130" t="inlineStr">
        <is>
          <t>fix/update-keys</t>
        </is>
      </c>
      <c r="H2130" t="inlineStr">
        <is>
          <t>sprint-16</t>
        </is>
      </c>
      <c r="I2130" t="inlineStr">
        <is>
          <t>merged</t>
        </is>
      </c>
      <c r="J2130" t="inlineStr">
        <is>
          <t>5801b3ea4b2b45e5d98d7cbf980a788ea132ee7d</t>
        </is>
      </c>
      <c r="K2130">
        <f>HYPERLINK("http://gitlab.osmosys.co/incident-reporter/incident-reporter-app/-/merge_requests/1725#note_230980", "Yeah, I get that this could be moved into a helper function. I just felt that since each place has slightly different context — like platform checks or lifecycle hooks — it’s a bit cleaner to keep it inline for now. It’s been working fine like this from the start, and since it’s tied to DOM loading and Google Maps script injection, I didn’t want to risk breaking the map loading by changing too much at once beacause this have happened in past while working with geofencing. For the new logic around API keys, I’ve already moved that into a separate function.")</f>
        <v/>
      </c>
      <c r="L2130" t="inlineStr">
        <is>
          <t>2025-07-01 21:52:40.071 IST</t>
        </is>
      </c>
      <c r="M2130" t="inlineStr">
        <is>
          <t>Hitesh Kandpal</t>
        </is>
      </c>
      <c r="N2130" t="inlineStr">
        <is>
          <t>No</t>
        </is>
      </c>
      <c r="O2130" t="inlineStr">
        <is>
          <t>Yes</t>
        </is>
      </c>
      <c r="P2130" t="inlineStr">
        <is>
          <t>Soundariya B</t>
        </is>
      </c>
      <c r="Q2130" t="inlineStr">
        <is>
          <t>Bad</t>
        </is>
      </c>
    </row>
    <row r="2131">
      <c r="A2131" t="inlineStr">
        <is>
          <t>hitesh.k</t>
        </is>
      </c>
      <c r="B2131" t="inlineStr">
        <is>
          <t>Hitesh Kandpal</t>
        </is>
      </c>
      <c r="C2131" t="inlineStr">
        <is>
          <t>hitesh.k@osmosys.co</t>
        </is>
      </c>
      <c r="D2131" t="inlineStr">
        <is>
          <t>incident-reporter</t>
        </is>
      </c>
      <c r="E2131">
        <f>HYPERLINK("http://gitlab.osmosys.co/incident-reporter/incident-reporter-app", "OQSHA Mobile App")</f>
        <v/>
      </c>
      <c r="F2131">
        <f>HYPERLINK("http://gitlab.osmosys.co/incident-reporter/incident-reporter-app/-/merge_requests/1725", "fix: update api keys for different platforms")</f>
        <v/>
      </c>
      <c r="G2131" t="inlineStr">
        <is>
          <t>fix/update-keys</t>
        </is>
      </c>
      <c r="H2131" t="inlineStr">
        <is>
          <t>sprint-16</t>
        </is>
      </c>
      <c r="I2131" t="inlineStr">
        <is>
          <t>merged</t>
        </is>
      </c>
      <c r="J2131" t="inlineStr">
        <is>
          <t>37421e662edf91c3e83d035d2e1312da3ac4f7e9</t>
        </is>
      </c>
      <c r="K2131">
        <f>HYPERLINK("http://gitlab.osmosys.co/incident-reporter/incident-reporter-app/-/merge_requests/1725#note_230917", "This function logic repeats the same thing in 6 places, leading to code redundancy. Can you define this in a shared or common file and reuse it everywhere it is required?")</f>
        <v/>
      </c>
      <c r="L2131" t="inlineStr">
        <is>
          <t>2025-07-01 18:04:28.482 IST</t>
        </is>
      </c>
      <c r="M2131" t="inlineStr">
        <is>
          <t>Soundariya B</t>
        </is>
      </c>
      <c r="N2131" t="inlineStr">
        <is>
          <t>Yes</t>
        </is>
      </c>
      <c r="O2131" t="inlineStr">
        <is>
          <t>Yes</t>
        </is>
      </c>
      <c r="P2131" t="inlineStr">
        <is>
          <t>Soundariya B</t>
        </is>
      </c>
      <c r="Q2131" t="inlineStr">
        <is>
          <t>Bad</t>
        </is>
      </c>
    </row>
    <row r="2132">
      <c r="A2132" t="inlineStr">
        <is>
          <t>hitesh.k</t>
        </is>
      </c>
      <c r="B2132" t="inlineStr">
        <is>
          <t>Hitesh Kandpal</t>
        </is>
      </c>
      <c r="C2132" t="inlineStr">
        <is>
          <t>hitesh.k@osmosys.co</t>
        </is>
      </c>
      <c r="D2132" t="inlineStr">
        <is>
          <t>incident-reporter</t>
        </is>
      </c>
      <c r="E2132">
        <f>HYPERLINK("http://gitlab.osmosys.co/incident-reporter/incident-reporter-app", "OQSHA Mobile App")</f>
        <v/>
      </c>
      <c r="F2132">
        <f>HYPERLINK("http://gitlab.osmosys.co/incident-reporter/incident-reporter-app/-/merge_requests/1725", "fix: update api keys for different platforms")</f>
        <v/>
      </c>
      <c r="G2132" t="inlineStr">
        <is>
          <t>fix/update-keys</t>
        </is>
      </c>
      <c r="H2132" t="inlineStr">
        <is>
          <t>sprint-16</t>
        </is>
      </c>
      <c r="I2132" t="inlineStr">
        <is>
          <t>merged</t>
        </is>
      </c>
      <c r="J2132" t="inlineStr">
        <is>
          <t>37421e662edf91c3e83d035d2e1312da3ac4f7e9</t>
        </is>
      </c>
      <c r="K2132">
        <f>HYPERLINK("http://gitlab.osmosys.co/incident-reporter/incident-reporter-app/-/merge_requests/1725#note_230936", "done")</f>
        <v/>
      </c>
      <c r="L2132" t="inlineStr">
        <is>
          <t>2025-07-01 18:43:54.132 IST</t>
        </is>
      </c>
      <c r="M2132" t="inlineStr">
        <is>
          <t>Hitesh Kandpal</t>
        </is>
      </c>
      <c r="N2132" t="inlineStr">
        <is>
          <t>No</t>
        </is>
      </c>
      <c r="O2132" t="inlineStr">
        <is>
          <t>Yes</t>
        </is>
      </c>
      <c r="P2132" t="inlineStr">
        <is>
          <t>Soundariya B</t>
        </is>
      </c>
      <c r="Q2132" t="inlineStr">
        <is>
          <t>Bad</t>
        </is>
      </c>
    </row>
    <row r="2133">
      <c r="A2133" t="inlineStr">
        <is>
          <t>hitesh.k</t>
        </is>
      </c>
      <c r="B2133" t="inlineStr">
        <is>
          <t>Hitesh Kandpal</t>
        </is>
      </c>
      <c r="C2133" t="inlineStr">
        <is>
          <t>hitesh.k@osmosys.co</t>
        </is>
      </c>
      <c r="D2133" t="inlineStr">
        <is>
          <t>incident-reporter</t>
        </is>
      </c>
      <c r="E2133">
        <f>HYPERLINK("http://gitlab.osmosys.co/incident-reporter/incident-reporter-app", "OQSHA Mobile App")</f>
        <v/>
      </c>
      <c r="F2133">
        <f>HYPERLINK("http://gitlab.osmosys.co/incident-reporter/incident-reporter-app/-/merge_requests/1725", "fix: update api keys for different platforms")</f>
        <v/>
      </c>
      <c r="G2133" t="inlineStr">
        <is>
          <t>fix/update-keys</t>
        </is>
      </c>
      <c r="H2133" t="inlineStr">
        <is>
          <t>sprint-16</t>
        </is>
      </c>
      <c r="I2133" t="inlineStr">
        <is>
          <t>merged</t>
        </is>
      </c>
      <c r="J2133" t="inlineStr">
        <is>
          <t>88f7b48f3b09ee852481f46d24f47d4df961def0</t>
        </is>
      </c>
      <c r="K2133">
        <f>HYPERLINK("http://gitlab.osmosys.co/incident-reporter/incident-reporter-app/-/merge_requests/1725#note_230918", "This function logic repeats the same thing in 6 places, leading to code redundancy. Can you define this in a shared or common file and reuse it everywhere it is required?")</f>
        <v/>
      </c>
      <c r="L2133" t="inlineStr">
        <is>
          <t>2025-07-01 18:04:28.573 IST</t>
        </is>
      </c>
      <c r="M2133" t="inlineStr">
        <is>
          <t>Soundariya B</t>
        </is>
      </c>
      <c r="N2133" t="inlineStr">
        <is>
          <t>Yes</t>
        </is>
      </c>
      <c r="O2133" t="inlineStr">
        <is>
          <t>Yes</t>
        </is>
      </c>
      <c r="P2133" t="inlineStr">
        <is>
          <t>Soundariya B</t>
        </is>
      </c>
      <c r="Q2133" t="inlineStr">
        <is>
          <t>Bad</t>
        </is>
      </c>
    </row>
    <row r="2134">
      <c r="A2134" t="inlineStr">
        <is>
          <t>hitesh.k</t>
        </is>
      </c>
      <c r="B2134" t="inlineStr">
        <is>
          <t>Hitesh Kandpal</t>
        </is>
      </c>
      <c r="C2134" t="inlineStr">
        <is>
          <t>hitesh.k@osmosys.co</t>
        </is>
      </c>
      <c r="D2134" t="inlineStr">
        <is>
          <t>incident-reporter</t>
        </is>
      </c>
      <c r="E2134">
        <f>HYPERLINK("http://gitlab.osmosys.co/incident-reporter/incident-reporter-app", "OQSHA Mobile App")</f>
        <v/>
      </c>
      <c r="F2134">
        <f>HYPERLINK("http://gitlab.osmosys.co/incident-reporter/incident-reporter-app/-/merge_requests/1725", "fix: update api keys for different platforms")</f>
        <v/>
      </c>
      <c r="G2134" t="inlineStr">
        <is>
          <t>fix/update-keys</t>
        </is>
      </c>
      <c r="H2134" t="inlineStr">
        <is>
          <t>sprint-16</t>
        </is>
      </c>
      <c r="I2134" t="inlineStr">
        <is>
          <t>merged</t>
        </is>
      </c>
      <c r="J2134" t="inlineStr">
        <is>
          <t>88f7b48f3b09ee852481f46d24f47d4df961def0</t>
        </is>
      </c>
      <c r="K2134">
        <f>HYPERLINK("http://gitlab.osmosys.co/incident-reporter/incident-reporter-app/-/merge_requests/1725#note_230937", "done")</f>
        <v/>
      </c>
      <c r="L2134" t="inlineStr">
        <is>
          <t>2025-07-01 18:43:58.339 IST</t>
        </is>
      </c>
      <c r="M2134" t="inlineStr">
        <is>
          <t>Hitesh Kandpal</t>
        </is>
      </c>
      <c r="N2134" t="inlineStr">
        <is>
          <t>No</t>
        </is>
      </c>
      <c r="O2134" t="inlineStr">
        <is>
          <t>Yes</t>
        </is>
      </c>
      <c r="P2134" t="inlineStr">
        <is>
          <t>Soundariya B</t>
        </is>
      </c>
      <c r="Q2134" t="inlineStr">
        <is>
          <t>Bad</t>
        </is>
      </c>
    </row>
    <row r="2135">
      <c r="A2135" t="inlineStr">
        <is>
          <t>hitesh.k</t>
        </is>
      </c>
      <c r="B2135" t="inlineStr">
        <is>
          <t>Hitesh Kandpal</t>
        </is>
      </c>
      <c r="C2135" t="inlineStr">
        <is>
          <t>hitesh.k@osmosys.co</t>
        </is>
      </c>
      <c r="D2135" t="inlineStr">
        <is>
          <t>incident-reporter</t>
        </is>
      </c>
      <c r="E2135">
        <f>HYPERLINK("http://gitlab.osmosys.co/incident-reporter/incident-reporter-app", "OQSHA Mobile App")</f>
        <v/>
      </c>
      <c r="F2135">
        <f>HYPERLINK("http://gitlab.osmosys.co/incident-reporter/incident-reporter-app/-/merge_requests/1725", "fix: update api keys for different platforms")</f>
        <v/>
      </c>
      <c r="G2135" t="inlineStr">
        <is>
          <t>fix/update-keys</t>
        </is>
      </c>
      <c r="H2135" t="inlineStr">
        <is>
          <t>sprint-16</t>
        </is>
      </c>
      <c r="I2135" t="inlineStr">
        <is>
          <t>merged</t>
        </is>
      </c>
      <c r="J2135" t="inlineStr">
        <is>
          <t>88f7b48f3b09ee852481f46d24f47d4df961def0</t>
        </is>
      </c>
      <c r="K2135">
        <f>HYPERLINK("http://gitlab.osmosys.co/incident-reporter/incident-reporter-app/-/merge_requests/1725#note_230954", "Why are these lines of code also not included in the sharedService file in the single method? As these also repeating it 6 times
**const** url **=** \`{constants.mapApiUrl.BASE_URL}?key={**this**.apiKey}&amp;${constants.mapApiUrl.CALLBACK_PARAM}\`;
**const** node **=** document.**createElement**('script');
node.src **=** url;
node.**type** **=** 'text/javascript';
document.**getElementsByTagName**('head')\[0\].**appendChild**(node);")</f>
        <v/>
      </c>
      <c r="L2135" t="inlineStr">
        <is>
          <t>2025-07-01 20:23:53.643 IST</t>
        </is>
      </c>
      <c r="M2135" t="inlineStr">
        <is>
          <t>Soundariya B</t>
        </is>
      </c>
      <c r="N2135" t="inlineStr">
        <is>
          <t>Yes</t>
        </is>
      </c>
      <c r="O2135" t="inlineStr">
        <is>
          <t>Yes</t>
        </is>
      </c>
      <c r="P2135" t="inlineStr">
        <is>
          <t>Soundariya B</t>
        </is>
      </c>
      <c r="Q2135" t="inlineStr">
        <is>
          <t>Bad</t>
        </is>
      </c>
    </row>
    <row r="2136">
      <c r="A2136" t="inlineStr">
        <is>
          <t>hitesh.k</t>
        </is>
      </c>
      <c r="B2136" t="inlineStr">
        <is>
          <t>Hitesh Kandpal</t>
        </is>
      </c>
      <c r="C2136" t="inlineStr">
        <is>
          <t>hitesh.k@osmosys.co</t>
        </is>
      </c>
      <c r="D2136" t="inlineStr">
        <is>
          <t>incident-reporter</t>
        </is>
      </c>
      <c r="E2136">
        <f>HYPERLINK("http://gitlab.osmosys.co/incident-reporter/incident-reporter-app", "OQSHA Mobile App")</f>
        <v/>
      </c>
      <c r="F2136">
        <f>HYPERLINK("http://gitlab.osmosys.co/incident-reporter/incident-reporter-app/-/merge_requests/1725", "fix: update api keys for different platforms")</f>
        <v/>
      </c>
      <c r="G2136" t="inlineStr">
        <is>
          <t>fix/update-keys</t>
        </is>
      </c>
      <c r="H2136" t="inlineStr">
        <is>
          <t>sprint-16</t>
        </is>
      </c>
      <c r="I2136" t="inlineStr">
        <is>
          <t>merged</t>
        </is>
      </c>
      <c r="J2136" t="inlineStr">
        <is>
          <t>88f7b48f3b09ee852481f46d24f47d4df961def0</t>
        </is>
      </c>
      <c r="K2136">
        <f>HYPERLINK("http://gitlab.osmosys.co/incident-reporter/incident-reporter-app/-/merge_requests/1725#note_230981", "Yeah, I get that this could be moved into a helper function. I just felt that since each place has slightly different context — like platform checks or lifecycle hooks — it’s a bit cleaner to keep it inline for now. It’s been working fine like this from the start, and since it’s tied to DOM loading and Google Maps script injection, I didn’t want to risk breaking the map loading by changing too much at once beacause this have happened in past while working with geofencing. For the new logic around API keys, I’ve already moved that into a separate function.")</f>
        <v/>
      </c>
      <c r="L2136" t="inlineStr">
        <is>
          <t>2025-07-01 21:52:47.842 IST</t>
        </is>
      </c>
      <c r="M2136" t="inlineStr">
        <is>
          <t>Hitesh Kandpal</t>
        </is>
      </c>
      <c r="N2136" t="inlineStr">
        <is>
          <t>No</t>
        </is>
      </c>
      <c r="O2136" t="inlineStr">
        <is>
          <t>Yes</t>
        </is>
      </c>
      <c r="P2136" t="inlineStr">
        <is>
          <t>Soundariya B</t>
        </is>
      </c>
      <c r="Q2136" t="inlineStr">
        <is>
          <t>Bad</t>
        </is>
      </c>
    </row>
    <row r="2137">
      <c r="A2137" t="inlineStr">
        <is>
          <t>hitesh.k</t>
        </is>
      </c>
      <c r="B2137" t="inlineStr">
        <is>
          <t>Hitesh Kandpal</t>
        </is>
      </c>
      <c r="C2137" t="inlineStr">
        <is>
          <t>hitesh.k@osmosys.co</t>
        </is>
      </c>
      <c r="D2137" t="inlineStr">
        <is>
          <t>incident-reporter</t>
        </is>
      </c>
      <c r="E2137">
        <f>HYPERLINK("http://gitlab.osmosys.co/incident-reporter/incident-reporter-app", "OQSHA Mobile App")</f>
        <v/>
      </c>
      <c r="F2137">
        <f>HYPERLINK("http://gitlab.osmosys.co/incident-reporter/incident-reporter-app/-/merge_requests/1725", "fix: update api keys for different platforms")</f>
        <v/>
      </c>
      <c r="G2137" t="inlineStr">
        <is>
          <t>fix/update-keys</t>
        </is>
      </c>
      <c r="H2137" t="inlineStr">
        <is>
          <t>sprint-16</t>
        </is>
      </c>
      <c r="I2137" t="inlineStr">
        <is>
          <t>merged</t>
        </is>
      </c>
      <c r="J2137" t="inlineStr">
        <is>
          <t>cc844a2ae5436ac72ef08123871597b55aaf55b9</t>
        </is>
      </c>
      <c r="K2137">
        <f>HYPERLINK("http://gitlab.osmosys.co/incident-reporter/incident-reporter-app/-/merge_requests/1725#note_230919", "This function logic repeats the same thing in 6 places, leading to code redundancy. Can you define this in a shared or common file and reuse it everywhere it is required?")</f>
        <v/>
      </c>
      <c r="L2137" t="inlineStr">
        <is>
          <t>2025-07-01 18:04:28.657 IST</t>
        </is>
      </c>
      <c r="M2137" t="inlineStr">
        <is>
          <t>Soundariya B</t>
        </is>
      </c>
      <c r="N2137" t="inlineStr">
        <is>
          <t>Yes</t>
        </is>
      </c>
      <c r="O2137" t="inlineStr">
        <is>
          <t>Yes</t>
        </is>
      </c>
      <c r="P2137" t="inlineStr">
        <is>
          <t>Soundariya B</t>
        </is>
      </c>
      <c r="Q2137" t="inlineStr">
        <is>
          <t>Bad</t>
        </is>
      </c>
    </row>
    <row r="2138">
      <c r="A2138" t="inlineStr">
        <is>
          <t>hitesh.k</t>
        </is>
      </c>
      <c r="B2138" t="inlineStr">
        <is>
          <t>Hitesh Kandpal</t>
        </is>
      </c>
      <c r="C2138" t="inlineStr">
        <is>
          <t>hitesh.k@osmosys.co</t>
        </is>
      </c>
      <c r="D2138" t="inlineStr">
        <is>
          <t>incident-reporter</t>
        </is>
      </c>
      <c r="E2138">
        <f>HYPERLINK("http://gitlab.osmosys.co/incident-reporter/incident-reporter-app", "OQSHA Mobile App")</f>
        <v/>
      </c>
      <c r="F2138">
        <f>HYPERLINK("http://gitlab.osmosys.co/incident-reporter/incident-reporter-app/-/merge_requests/1725", "fix: update api keys for different platforms")</f>
        <v/>
      </c>
      <c r="G2138" t="inlineStr">
        <is>
          <t>fix/update-keys</t>
        </is>
      </c>
      <c r="H2138" t="inlineStr">
        <is>
          <t>sprint-16</t>
        </is>
      </c>
      <c r="I2138" t="inlineStr">
        <is>
          <t>merged</t>
        </is>
      </c>
      <c r="J2138" t="inlineStr">
        <is>
          <t>cc844a2ae5436ac72ef08123871597b55aaf55b9</t>
        </is>
      </c>
      <c r="K2138">
        <f>HYPERLINK("http://gitlab.osmosys.co/incident-reporter/incident-reporter-app/-/merge_requests/1725#note_230938", "done")</f>
        <v/>
      </c>
      <c r="L2138" t="inlineStr">
        <is>
          <t>2025-07-01 18:44:04.118 IST</t>
        </is>
      </c>
      <c r="M2138" t="inlineStr">
        <is>
          <t>Hitesh Kandpal</t>
        </is>
      </c>
      <c r="N2138" t="inlineStr">
        <is>
          <t>No</t>
        </is>
      </c>
      <c r="O2138" t="inlineStr">
        <is>
          <t>Yes</t>
        </is>
      </c>
      <c r="P2138" t="inlineStr">
        <is>
          <t>Soundariya B</t>
        </is>
      </c>
      <c r="Q2138" t="inlineStr">
        <is>
          <t>Bad</t>
        </is>
      </c>
    </row>
    <row r="2139">
      <c r="A2139" t="inlineStr">
        <is>
          <t>hitesh.k</t>
        </is>
      </c>
      <c r="B2139" t="inlineStr">
        <is>
          <t>Hitesh Kandpal</t>
        </is>
      </c>
      <c r="C2139" t="inlineStr">
        <is>
          <t>hitesh.k@osmosys.co</t>
        </is>
      </c>
      <c r="D2139" t="inlineStr">
        <is>
          <t>incident-reporter</t>
        </is>
      </c>
      <c r="E2139">
        <f>HYPERLINK("http://gitlab.osmosys.co/incident-reporter/incident-reporter-app", "OQSHA Mobile App")</f>
        <v/>
      </c>
      <c r="F2139">
        <f>HYPERLINK("http://gitlab.osmosys.co/incident-reporter/incident-reporter-app/-/merge_requests/1725", "fix: update api keys for different platforms")</f>
        <v/>
      </c>
      <c r="G2139" t="inlineStr">
        <is>
          <t>fix/update-keys</t>
        </is>
      </c>
      <c r="H2139" t="inlineStr">
        <is>
          <t>sprint-16</t>
        </is>
      </c>
      <c r="I2139" t="inlineStr">
        <is>
          <t>merged</t>
        </is>
      </c>
      <c r="J2139" t="inlineStr">
        <is>
          <t>cc844a2ae5436ac72ef08123871597b55aaf55b9</t>
        </is>
      </c>
      <c r="K2139">
        <f>HYPERLINK("http://gitlab.osmosys.co/incident-reporter/incident-reporter-app/-/merge_requests/1725#note_230956", "Why are these lines of code also not included in the sharedService file in the single method? As these also repeating it 6 times
**const** url **=** \`{constants.mapApiUrl.BASE_URL}?key={**this**.apiKey}&amp;${constants.mapApiUrl.CALLBACK_PARAM}\`;
**const** node **=** document.**createElement**('script');
node.src **=** url;
node.**type** **=** 'text/javascript';
document.**getElementsByTagName**('head')\[0\].**appendChild**(node);")</f>
        <v/>
      </c>
      <c r="L2139" t="inlineStr">
        <is>
          <t>2025-07-01 20:24:34.178 IST</t>
        </is>
      </c>
      <c r="M2139" t="inlineStr">
        <is>
          <t>Soundariya B</t>
        </is>
      </c>
      <c r="N2139" t="inlineStr">
        <is>
          <t>Yes</t>
        </is>
      </c>
      <c r="O2139" t="inlineStr">
        <is>
          <t>Yes</t>
        </is>
      </c>
      <c r="P2139" t="inlineStr">
        <is>
          <t>Soundariya B</t>
        </is>
      </c>
      <c r="Q2139" t="inlineStr">
        <is>
          <t>Bad</t>
        </is>
      </c>
    </row>
    <row r="2140">
      <c r="A2140" t="inlineStr">
        <is>
          <t>hitesh.k</t>
        </is>
      </c>
      <c r="B2140" t="inlineStr">
        <is>
          <t>Hitesh Kandpal</t>
        </is>
      </c>
      <c r="C2140" t="inlineStr">
        <is>
          <t>hitesh.k@osmosys.co</t>
        </is>
      </c>
      <c r="D2140" t="inlineStr">
        <is>
          <t>incident-reporter</t>
        </is>
      </c>
      <c r="E2140">
        <f>HYPERLINK("http://gitlab.osmosys.co/incident-reporter/incident-reporter-app", "OQSHA Mobile App")</f>
        <v/>
      </c>
      <c r="F2140">
        <f>HYPERLINK("http://gitlab.osmosys.co/incident-reporter/incident-reporter-app/-/merge_requests/1725", "fix: update api keys for different platforms")</f>
        <v/>
      </c>
      <c r="G2140" t="inlineStr">
        <is>
          <t>fix/update-keys</t>
        </is>
      </c>
      <c r="H2140" t="inlineStr">
        <is>
          <t>sprint-16</t>
        </is>
      </c>
      <c r="I2140" t="inlineStr">
        <is>
          <t>merged</t>
        </is>
      </c>
      <c r="J2140" t="inlineStr">
        <is>
          <t>cc844a2ae5436ac72ef08123871597b55aaf55b9</t>
        </is>
      </c>
      <c r="K2140">
        <f>HYPERLINK("http://gitlab.osmosys.co/incident-reporter/incident-reporter-app/-/merge_requests/1725#note_230982", "Yeah, I get that this could be moved into a helper function. I just felt that since each place has slightly different context — like platform checks or lifecycle hooks — it’s a bit cleaner to keep it inline for now. It’s been working fine like this from the start, and since it’s tied to DOM loading and Google Maps script injection, I didn’t want to risk breaking the map loading by changing too much at once beacause this have happened in past while working with geofencing. For the new logic around API keys, I’ve already moved that into a separate function.")</f>
        <v/>
      </c>
      <c r="L2140" t="inlineStr">
        <is>
          <t>2025-07-01 21:52:54.151 IST</t>
        </is>
      </c>
      <c r="M2140" t="inlineStr">
        <is>
          <t>Hitesh Kandpal</t>
        </is>
      </c>
      <c r="N2140" t="inlineStr">
        <is>
          <t>No</t>
        </is>
      </c>
      <c r="O2140" t="inlineStr">
        <is>
          <t>Yes</t>
        </is>
      </c>
      <c r="P2140" t="inlineStr">
        <is>
          <t>Soundariya B</t>
        </is>
      </c>
      <c r="Q2140" t="inlineStr">
        <is>
          <t>Bad</t>
        </is>
      </c>
    </row>
    <row r="2141">
      <c r="A2141" t="inlineStr">
        <is>
          <t>hitesh.k</t>
        </is>
      </c>
      <c r="B2141" t="inlineStr">
        <is>
          <t>Hitesh Kandpal</t>
        </is>
      </c>
      <c r="C2141" t="inlineStr">
        <is>
          <t>hitesh.k@osmosys.co</t>
        </is>
      </c>
      <c r="D2141" t="inlineStr">
        <is>
          <t>incident-reporter</t>
        </is>
      </c>
      <c r="E2141">
        <f>HYPERLINK("http://gitlab.osmosys.co/incident-reporter/incident-reporter-app", "OQSHA Mobile App")</f>
        <v/>
      </c>
      <c r="F2141">
        <f>HYPERLINK("http://gitlab.osmosys.co/incident-reporter/incident-reporter-app/-/merge_requests/1725", "fix: update api keys for different platforms")</f>
        <v/>
      </c>
      <c r="G2141" t="inlineStr">
        <is>
          <t>fix/update-keys</t>
        </is>
      </c>
      <c r="H2141" t="inlineStr">
        <is>
          <t>sprint-16</t>
        </is>
      </c>
      <c r="I2141" t="inlineStr">
        <is>
          <t>merged</t>
        </is>
      </c>
      <c r="J2141" t="inlineStr">
        <is>
          <t>ea0a3cef7e5ee9d49c815295f916ff6720776a8f</t>
        </is>
      </c>
      <c r="K2141">
        <f>HYPERLINK("http://gitlab.osmosys.co/incident-reporter/incident-reporter-app/-/merge_requests/1725#note_230920", "Take the routes from constant file and use it here")</f>
        <v/>
      </c>
      <c r="L2141" t="inlineStr">
        <is>
          <t>2025-07-01 18:04:28.714 IST</t>
        </is>
      </c>
      <c r="M2141" t="inlineStr">
        <is>
          <t>Soundariya B</t>
        </is>
      </c>
      <c r="N2141" t="inlineStr">
        <is>
          <t>Yes</t>
        </is>
      </c>
      <c r="O2141" t="inlineStr">
        <is>
          <t>Yes</t>
        </is>
      </c>
      <c r="P2141" t="inlineStr">
        <is>
          <t>Soundariya B</t>
        </is>
      </c>
      <c r="Q2141" t="inlineStr">
        <is>
          <t>Bad</t>
        </is>
      </c>
    </row>
    <row r="2142">
      <c r="A2142" t="inlineStr">
        <is>
          <t>hitesh.k</t>
        </is>
      </c>
      <c r="B2142" t="inlineStr">
        <is>
          <t>Hitesh Kandpal</t>
        </is>
      </c>
      <c r="C2142" t="inlineStr">
        <is>
          <t>hitesh.k@osmosys.co</t>
        </is>
      </c>
      <c r="D2142" t="inlineStr">
        <is>
          <t>incident-reporter</t>
        </is>
      </c>
      <c r="E2142">
        <f>HYPERLINK("http://gitlab.osmosys.co/incident-reporter/incident-reporter-app", "OQSHA Mobile App")</f>
        <v/>
      </c>
      <c r="F2142">
        <f>HYPERLINK("http://gitlab.osmosys.co/incident-reporter/incident-reporter-app/-/merge_requests/1725", "fix: update api keys for different platforms")</f>
        <v/>
      </c>
      <c r="G2142" t="inlineStr">
        <is>
          <t>fix/update-keys</t>
        </is>
      </c>
      <c r="H2142" t="inlineStr">
        <is>
          <t>sprint-16</t>
        </is>
      </c>
      <c r="I2142" t="inlineStr">
        <is>
          <t>merged</t>
        </is>
      </c>
      <c r="J2142" t="inlineStr">
        <is>
          <t>ea0a3cef7e5ee9d49c815295f916ff6720776a8f</t>
        </is>
      </c>
      <c r="K2142">
        <f>HYPERLINK("http://gitlab.osmosys.co/incident-reporter/incident-reporter-app/-/merge_requests/1725#note_230939", "done")</f>
        <v/>
      </c>
      <c r="L2142" t="inlineStr">
        <is>
          <t>2025-07-01 18:44:10.736 IST</t>
        </is>
      </c>
      <c r="M2142" t="inlineStr">
        <is>
          <t>Hitesh Kandpal</t>
        </is>
      </c>
      <c r="N2142" t="inlineStr">
        <is>
          <t>No</t>
        </is>
      </c>
      <c r="O2142" t="inlineStr">
        <is>
          <t>Yes</t>
        </is>
      </c>
      <c r="P2142" t="inlineStr">
        <is>
          <t>Soundariya B</t>
        </is>
      </c>
      <c r="Q2142" t="inlineStr">
        <is>
          <t>Bad</t>
        </is>
      </c>
    </row>
    <row r="2143">
      <c r="A2143" t="inlineStr">
        <is>
          <t>hitesh.k</t>
        </is>
      </c>
      <c r="B2143" t="inlineStr">
        <is>
          <t>Hitesh Kandpal</t>
        </is>
      </c>
      <c r="C2143" t="inlineStr">
        <is>
          <t>hitesh.k@osmosys.co</t>
        </is>
      </c>
      <c r="D2143" t="inlineStr">
        <is>
          <t>incident-reporter</t>
        </is>
      </c>
      <c r="E2143">
        <f>HYPERLINK("http://gitlab.osmosys.co/incident-reporter/incident-reporter-app", "OQSHA Mobile App")</f>
        <v/>
      </c>
      <c r="F2143">
        <f>HYPERLINK("http://gitlab.osmosys.co/incident-reporter/incident-reporter-app/-/merge_requests/1725", "fix: update api keys for different platforms")</f>
        <v/>
      </c>
      <c r="G2143" t="inlineStr">
        <is>
          <t>fix/update-keys</t>
        </is>
      </c>
      <c r="H2143" t="inlineStr">
        <is>
          <t>sprint-16</t>
        </is>
      </c>
      <c r="I2143" t="inlineStr">
        <is>
          <t>merged</t>
        </is>
      </c>
      <c r="J2143" t="inlineStr">
        <is>
          <t>ea0a3cef7e5ee9d49c815295f916ff6720776a8f</t>
        </is>
      </c>
      <c r="K2143">
        <f>HYPERLINK("http://gitlab.osmosys.co/incident-reporter/incident-reporter-app/-/merge_requests/1725#note_230955", "Why are these lines of code also not included in the sharedService file in the single method? As these also repeating it 6 times
**const** url **=** \`{constants.mapApiUrl.BASE_URL}?key={**this**.apiKey}&amp;${constants.mapApiUrl.CALLBACK_PARAM}\`;
**const** node **=** document.**createElement**('script');
node.src **=** url;
node.**type** **=** 'text/javascript';
document.**getElementsByTagName**('head')\[0\].**appendChild**(node);")</f>
        <v/>
      </c>
      <c r="L2143" t="inlineStr">
        <is>
          <t>2025-07-01 20:24:25.252 IST</t>
        </is>
      </c>
      <c r="M2143" t="inlineStr">
        <is>
          <t>Soundariya B</t>
        </is>
      </c>
      <c r="N2143" t="inlineStr">
        <is>
          <t>Yes</t>
        </is>
      </c>
      <c r="O2143" t="inlineStr">
        <is>
          <t>Yes</t>
        </is>
      </c>
      <c r="P2143" t="inlineStr">
        <is>
          <t>Soundariya B</t>
        </is>
      </c>
      <c r="Q2143" t="inlineStr">
        <is>
          <t>Bad</t>
        </is>
      </c>
    </row>
    <row r="2144">
      <c r="A2144" t="inlineStr">
        <is>
          <t>hitesh.k</t>
        </is>
      </c>
      <c r="B2144" t="inlineStr">
        <is>
          <t>Hitesh Kandpal</t>
        </is>
      </c>
      <c r="C2144" t="inlineStr">
        <is>
          <t>hitesh.k@osmosys.co</t>
        </is>
      </c>
      <c r="D2144" t="inlineStr">
        <is>
          <t>incident-reporter</t>
        </is>
      </c>
      <c r="E2144">
        <f>HYPERLINK("http://gitlab.osmosys.co/incident-reporter/incident-reporter-app", "OQSHA Mobile App")</f>
        <v/>
      </c>
      <c r="F2144">
        <f>HYPERLINK("http://gitlab.osmosys.co/incident-reporter/incident-reporter-app/-/merge_requests/1725", "fix: update api keys for different platforms")</f>
        <v/>
      </c>
      <c r="G2144" t="inlineStr">
        <is>
          <t>fix/update-keys</t>
        </is>
      </c>
      <c r="H2144" t="inlineStr">
        <is>
          <t>sprint-16</t>
        </is>
      </c>
      <c r="I2144" t="inlineStr">
        <is>
          <t>merged</t>
        </is>
      </c>
      <c r="J2144" t="inlineStr">
        <is>
          <t>ea0a3cef7e5ee9d49c815295f916ff6720776a8f</t>
        </is>
      </c>
      <c r="K2144">
        <f>HYPERLINK("http://gitlab.osmosys.co/incident-reporter/incident-reporter-app/-/merge_requests/1725#note_230983", "Yeah, I get that this could be moved into a helper function. I just felt that since each place has slightly different context — like platform checks or lifecycle hooks — it’s a bit cleaner to keep it inline for now. It’s been working fine like this from the start, and since it’s tied to DOM loading and Google Maps script injection, I didn’t want to risk breaking the map loading by changing too much at once beacause this have happened in past while working with geofencing. For the new logic around API keys, I’ve already moved that into a separate function.")</f>
        <v/>
      </c>
      <c r="L2144" t="inlineStr">
        <is>
          <t>2025-07-01 21:53:01.005 IST</t>
        </is>
      </c>
      <c r="M2144" t="inlineStr">
        <is>
          <t>Hitesh Kandpal</t>
        </is>
      </c>
      <c r="N2144" t="inlineStr">
        <is>
          <t>No</t>
        </is>
      </c>
      <c r="O2144" t="inlineStr">
        <is>
          <t>Yes</t>
        </is>
      </c>
      <c r="P2144" t="inlineStr">
        <is>
          <t>Soundariya B</t>
        </is>
      </c>
      <c r="Q2144" t="inlineStr">
        <is>
          <t>Bad</t>
        </is>
      </c>
    </row>
    <row r="2145">
      <c r="A2145" t="inlineStr">
        <is>
          <t>hitesh.k</t>
        </is>
      </c>
      <c r="B2145" t="inlineStr">
        <is>
          <t>Hitesh Kandpal</t>
        </is>
      </c>
      <c r="C2145" t="inlineStr">
        <is>
          <t>hitesh.k@osmosys.co</t>
        </is>
      </c>
      <c r="D2145" t="inlineStr">
        <is>
          <t>incident-reporter</t>
        </is>
      </c>
      <c r="E2145">
        <f>HYPERLINK("http://gitlab.osmosys.co/incident-reporter/incident-reporter-app", "OQSHA Mobile App")</f>
        <v/>
      </c>
      <c r="F2145">
        <f>HYPERLINK("http://gitlab.osmosys.co/incident-reporter/incident-reporter-app/-/merge_requests/1725", "fix: update api keys for different platforms")</f>
        <v/>
      </c>
      <c r="G2145" t="inlineStr">
        <is>
          <t>fix/update-keys</t>
        </is>
      </c>
      <c r="H2145" t="inlineStr">
        <is>
          <t>sprint-16</t>
        </is>
      </c>
      <c r="I2145" t="inlineStr">
        <is>
          <t>merged</t>
        </is>
      </c>
      <c r="J2145" t="inlineStr">
        <is>
          <t>4742c1651e70010cd8c9b10de059a442e5a5de0c</t>
        </is>
      </c>
      <c r="K2145">
        <f>HYPERLINK("http://gitlab.osmosys.co/incident-reporter/incident-reporter-app/-/merge_requests/1725#note_230950", "Why are these lines of code also not included in the sharedService file in the single method? As these also repeating it 6 times
**const** url **=** \`{constants.mapApiUrl.BASE_URL}?key={**this**.apiKey}&amp;${constants.mapApiUrl.CALLBACK_PARAM}\`;
**const** node **=** document.**createElement**('script');
node.src **=** url;
node.**type** **=** 'text/javascript';
document.**getElementsByTagName**('head')\[0\].**appendChild**(node);")</f>
        <v/>
      </c>
      <c r="L2145" t="inlineStr">
        <is>
          <t>2025-07-01 20:22:23.322 IST</t>
        </is>
      </c>
      <c r="M2145" t="inlineStr">
        <is>
          <t>Soundariya B</t>
        </is>
      </c>
      <c r="N2145" t="inlineStr">
        <is>
          <t>Yes</t>
        </is>
      </c>
      <c r="O2145" t="inlineStr">
        <is>
          <t>Yes</t>
        </is>
      </c>
      <c r="P2145" t="inlineStr">
        <is>
          <t>Soundariya B</t>
        </is>
      </c>
      <c r="Q2145" t="inlineStr">
        <is>
          <t>Bad</t>
        </is>
      </c>
    </row>
    <row r="2146">
      <c r="A2146" t="inlineStr">
        <is>
          <t>hitesh.k</t>
        </is>
      </c>
      <c r="B2146" t="inlineStr">
        <is>
          <t>Hitesh Kandpal</t>
        </is>
      </c>
      <c r="C2146" t="inlineStr">
        <is>
          <t>hitesh.k@osmosys.co</t>
        </is>
      </c>
      <c r="D2146" t="inlineStr">
        <is>
          <t>incident-reporter</t>
        </is>
      </c>
      <c r="E2146">
        <f>HYPERLINK("http://gitlab.osmosys.co/incident-reporter/incident-reporter-app", "OQSHA Mobile App")</f>
        <v/>
      </c>
      <c r="F2146">
        <f>HYPERLINK("http://gitlab.osmosys.co/incident-reporter/incident-reporter-app/-/merge_requests/1725", "fix: update api keys for different platforms")</f>
        <v/>
      </c>
      <c r="G2146" t="inlineStr">
        <is>
          <t>fix/update-keys</t>
        </is>
      </c>
      <c r="H2146" t="inlineStr">
        <is>
          <t>sprint-16</t>
        </is>
      </c>
      <c r="I2146" t="inlineStr">
        <is>
          <t>merged</t>
        </is>
      </c>
      <c r="J2146" t="inlineStr">
        <is>
          <t>4742c1651e70010cd8c9b10de059a442e5a5de0c</t>
        </is>
      </c>
      <c r="K2146">
        <f>HYPERLINK("http://gitlab.osmosys.co/incident-reporter/incident-reporter-app/-/merge_requests/1725#note_230984", "Yeah, I get that this could be moved into a helper function. I just felt that since each place has slightly different context — like platform checks or lifecycle hooks — it’s a bit cleaner to keep it inline for now. It’s been working fine like this from the start, and since it’s tied to DOM loading and Google Maps script injection, I didn’t want to risk breaking the map loading by changing too much at once beacause this have happened in past while working with geofencing. For the new logic around API keys, I’ve already moved that into a separate function.")</f>
        <v/>
      </c>
      <c r="L2146" t="inlineStr">
        <is>
          <t>2025-07-01 21:53:11.361 IST</t>
        </is>
      </c>
      <c r="M2146" t="inlineStr">
        <is>
          <t>Hitesh Kandpal</t>
        </is>
      </c>
      <c r="N2146" t="inlineStr">
        <is>
          <t>No</t>
        </is>
      </c>
      <c r="O2146" t="inlineStr">
        <is>
          <t>Yes</t>
        </is>
      </c>
      <c r="P2146" t="inlineStr">
        <is>
          <t>Soundariya B</t>
        </is>
      </c>
      <c r="Q2146" t="inlineStr">
        <is>
          <t>Bad</t>
        </is>
      </c>
    </row>
    <row r="2147">
      <c r="A2147" t="inlineStr">
        <is>
          <t>hitesh.k</t>
        </is>
      </c>
      <c r="B2147" t="inlineStr">
        <is>
          <t>Hitesh Kandpal</t>
        </is>
      </c>
      <c r="C2147" t="inlineStr">
        <is>
          <t>hitesh.k@osmosys.co</t>
        </is>
      </c>
      <c r="D2147" t="inlineStr">
        <is>
          <t>incident-reporter</t>
        </is>
      </c>
      <c r="E2147">
        <f>HYPERLINK("http://gitlab.osmosys.co/incident-reporter/incident-reporter-app", "OQSHA Mobile App")</f>
        <v/>
      </c>
      <c r="F2147">
        <f>HYPERLINK("http://gitlab.osmosys.co/incident-reporter/incident-reporter-app/-/merge_requests/1725", "fix: update api keys for different platforms")</f>
        <v/>
      </c>
      <c r="G2147" t="inlineStr">
        <is>
          <t>fix/update-keys</t>
        </is>
      </c>
      <c r="H2147" t="inlineStr">
        <is>
          <t>sprint-16</t>
        </is>
      </c>
      <c r="I2147" t="inlineStr">
        <is>
          <t>merged</t>
        </is>
      </c>
      <c r="J2147" t="inlineStr">
        <is>
          <t>79270e7c0fe4fc9b822708913408cc2cc9466249</t>
        </is>
      </c>
      <c r="K2147">
        <f>HYPERLINK("http://gitlab.osmosys.co/incident-reporter/incident-reporter-app/-/merge_requests/1725#note_230957", "Please remove spaces")</f>
        <v/>
      </c>
      <c r="L2147" t="inlineStr">
        <is>
          <t>2025-07-01 20:25:18.248 IST</t>
        </is>
      </c>
      <c r="M2147" t="inlineStr">
        <is>
          <t>Soundariya B</t>
        </is>
      </c>
      <c r="N2147" t="inlineStr">
        <is>
          <t>Yes</t>
        </is>
      </c>
      <c r="O2147" t="inlineStr">
        <is>
          <t>Yes</t>
        </is>
      </c>
      <c r="P2147" t="inlineStr">
        <is>
          <t>Soundariya B</t>
        </is>
      </c>
      <c r="Q2147" t="inlineStr">
        <is>
          <t>Bad</t>
        </is>
      </c>
    </row>
    <row r="2148">
      <c r="A2148" t="inlineStr">
        <is>
          <t>hitesh.k</t>
        </is>
      </c>
      <c r="B2148" t="inlineStr">
        <is>
          <t>Hitesh Kandpal</t>
        </is>
      </c>
      <c r="C2148" t="inlineStr">
        <is>
          <t>hitesh.k@osmosys.co</t>
        </is>
      </c>
      <c r="D2148" t="inlineStr">
        <is>
          <t>incident-reporter</t>
        </is>
      </c>
      <c r="E2148">
        <f>HYPERLINK("http://gitlab.osmosys.co/incident-reporter/incident-reporter-app", "OQSHA Mobile App")</f>
        <v/>
      </c>
      <c r="F2148">
        <f>HYPERLINK("http://gitlab.osmosys.co/incident-reporter/incident-reporter-app/-/merge_requests/1725", "fix: update api keys for different platforms")</f>
        <v/>
      </c>
      <c r="G2148" t="inlineStr">
        <is>
          <t>fix/update-keys</t>
        </is>
      </c>
      <c r="H2148" t="inlineStr">
        <is>
          <t>sprint-16</t>
        </is>
      </c>
      <c r="I2148" t="inlineStr">
        <is>
          <t>merged</t>
        </is>
      </c>
      <c r="J2148" t="inlineStr">
        <is>
          <t>79270e7c0fe4fc9b822708913408cc2cc9466249</t>
        </is>
      </c>
      <c r="K2148">
        <f>HYPERLINK("http://gitlab.osmosys.co/incident-reporter/incident-reporter-app/-/merge_requests/1725#note_230987", "done")</f>
        <v/>
      </c>
      <c r="L2148" t="inlineStr">
        <is>
          <t>2025-07-01 21:55:03.826 IST</t>
        </is>
      </c>
      <c r="M2148" t="inlineStr">
        <is>
          <t>Hitesh Kandpal</t>
        </is>
      </c>
      <c r="N2148" t="inlineStr">
        <is>
          <t>No</t>
        </is>
      </c>
      <c r="O2148" t="inlineStr">
        <is>
          <t>Yes</t>
        </is>
      </c>
      <c r="P2148" t="inlineStr">
        <is>
          <t>Soundariya B</t>
        </is>
      </c>
      <c r="Q2148" t="inlineStr">
        <is>
          <t>Bad</t>
        </is>
      </c>
    </row>
    <row r="2149">
      <c r="A2149" t="inlineStr">
        <is>
          <t>dhruv.p</t>
        </is>
      </c>
      <c r="B2149" t="inlineStr">
        <is>
          <t>Dhruv Pahadia</t>
        </is>
      </c>
      <c r="C2149" t="inlineStr">
        <is>
          <t>dhruv.p@osmosys.co</t>
        </is>
      </c>
      <c r="D2149" t="inlineStr">
        <is>
          <t>incident-reporter</t>
        </is>
      </c>
      <c r="E2149">
        <f>HYPERLINK("http://gitlab.osmosys.co/incident-reporter/incident-reporter-angular-portal", "OQSHA Portal")</f>
        <v/>
      </c>
      <c r="F2149">
        <f>HYPERLINK("http://gitlab.osmosys.co/incident-reporter/incident-reporter-angular-portal/-/merge_requests/3695", "feat: implement inspections grid")</f>
        <v/>
      </c>
      <c r="G2149" t="inlineStr">
        <is>
          <t>feat/ptw-inspections-grid</t>
        </is>
      </c>
      <c r="H2149" t="inlineStr">
        <is>
          <t>sprint-19</t>
        </is>
      </c>
      <c r="I2149" t="inlineStr">
        <is>
          <t>merged</t>
        </is>
      </c>
      <c r="J2149" t="inlineStr"/>
      <c r="K2149" t="inlineStr"/>
      <c r="L2149" t="inlineStr"/>
      <c r="M2149" t="inlineStr"/>
      <c r="N2149" t="inlineStr"/>
      <c r="O2149" t="inlineStr"/>
      <c r="P2149" t="inlineStr"/>
      <c r="Q2149" t="inlineStr"/>
    </row>
    <row r="2150">
      <c r="A2150" t="inlineStr">
        <is>
          <t>dhruv.p</t>
        </is>
      </c>
      <c r="B2150" t="inlineStr">
        <is>
          <t>Dhruv Pahadia</t>
        </is>
      </c>
      <c r="C2150" t="inlineStr">
        <is>
          <t>dhruv.p@osmosys.co</t>
        </is>
      </c>
      <c r="D2150" t="inlineStr">
        <is>
          <t>incident-reporter</t>
        </is>
      </c>
      <c r="E2150">
        <f>HYPERLINK("http://gitlab.osmosys.co/incident-reporter/incident-reporter-angular-portal", "OQSHA Portal")</f>
        <v/>
      </c>
      <c r="F2150">
        <f>HYPERLINK("http://gitlab.osmosys.co/incident-reporter/incident-reporter-angular-portal/-/merge_requests/3689", "feat: fix batch table")</f>
        <v/>
      </c>
      <c r="G2150" t="inlineStr">
        <is>
          <t>feat/batches-table</t>
        </is>
      </c>
      <c r="H2150" t="inlineStr">
        <is>
          <t>sprint-19</t>
        </is>
      </c>
      <c r="I2150" t="inlineStr">
        <is>
          <t>merged</t>
        </is>
      </c>
      <c r="J2150" t="inlineStr"/>
      <c r="K2150" t="inlineStr"/>
      <c r="L2150" t="inlineStr"/>
      <c r="M2150" t="inlineStr"/>
      <c r="N2150" t="inlineStr"/>
      <c r="O2150" t="inlineStr"/>
      <c r="P2150" t="inlineStr"/>
      <c r="Q2150" t="inlineStr"/>
    </row>
    <row r="2151">
      <c r="A2151" t="inlineStr">
        <is>
          <t>dhruv.p</t>
        </is>
      </c>
      <c r="B2151" t="inlineStr">
        <is>
          <t>Dhruv Pahadia</t>
        </is>
      </c>
      <c r="C2151" t="inlineStr">
        <is>
          <t>dhruv.p@osmosys.co</t>
        </is>
      </c>
      <c r="D2151" t="inlineStr">
        <is>
          <t>incident-reporter</t>
        </is>
      </c>
      <c r="E2151">
        <f>HYPERLINK("http://gitlab.osmosys.co/incident-reporter/incident-reporter-angular-portal", "OQSHA Portal")</f>
        <v/>
      </c>
      <c r="F2151">
        <f>HYPERLINK("http://gitlab.osmosys.co/incident-reporter/incident-reporter-angular-portal/-/merge_requests/3668", "feat: redirect to pwa")</f>
        <v/>
      </c>
      <c r="G2151" t="inlineStr">
        <is>
          <t>feat/redirect-to-pwa</t>
        </is>
      </c>
      <c r="H2151" t="inlineStr">
        <is>
          <t>sprint-18</t>
        </is>
      </c>
      <c r="I2151" t="inlineStr">
        <is>
          <t>opened</t>
        </is>
      </c>
      <c r="J2151" t="inlineStr">
        <is>
          <t>08ea0b0bcd1bc81e3a58fd439653ae81b7550abd</t>
        </is>
      </c>
      <c r="K2151">
        <f>HYPERLINK("http://gitlab.osmosys.co/incident-reporter/incident-reporter-angular-portal/-/merge_requests/3668#note_245408", "No proper description
No test cases attached
No screen shot or recording attached
Ticket the checklist which are not attached like test case file")</f>
        <v/>
      </c>
      <c r="L2151" t="inlineStr">
        <is>
          <t>2025-08-01 14:42:59.065 IST</t>
        </is>
      </c>
      <c r="M2151" t="inlineStr">
        <is>
          <t>Soundariya B</t>
        </is>
      </c>
      <c r="N2151" t="inlineStr">
        <is>
          <t>Yes</t>
        </is>
      </c>
      <c r="O2151" t="inlineStr">
        <is>
          <t>No</t>
        </is>
      </c>
      <c r="P2151" t="inlineStr"/>
      <c r="Q2151" t="inlineStr">
        <is>
          <t>Bad</t>
        </is>
      </c>
    </row>
    <row r="2152">
      <c r="A2152" t="inlineStr">
        <is>
          <t>dhruv.p</t>
        </is>
      </c>
      <c r="B2152" t="inlineStr">
        <is>
          <t>Dhruv Pahadia</t>
        </is>
      </c>
      <c r="C2152" t="inlineStr">
        <is>
          <t>dhruv.p@osmosys.co</t>
        </is>
      </c>
      <c r="D2152" t="inlineStr">
        <is>
          <t>incident-reporter</t>
        </is>
      </c>
      <c r="E2152">
        <f>HYPERLINK("http://gitlab.osmosys.co/incident-reporter/incident-reporter-angular-portal", "OQSHA Portal")</f>
        <v/>
      </c>
      <c r="F2152">
        <f>HYPERLINK("http://gitlab.osmosys.co/incident-reporter/incident-reporter-angular-portal/-/merge_requests/3668", "feat: redirect to pwa")</f>
        <v/>
      </c>
      <c r="G2152" t="inlineStr">
        <is>
          <t>feat/redirect-to-pwa</t>
        </is>
      </c>
      <c r="H2152" t="inlineStr">
        <is>
          <t>sprint-18</t>
        </is>
      </c>
      <c r="I2152" t="inlineStr">
        <is>
          <t>opened</t>
        </is>
      </c>
      <c r="J2152" t="inlineStr">
        <is>
          <t>638573a484e9a63565324fc2c9e3640a1460d2d8</t>
        </is>
      </c>
      <c r="K2152">
        <f>HYPERLINK("http://gitlab.osmosys.co/incident-reporter/incident-reporter-angular-portal/-/merge_requests/3668#note_245409", "Revert this as it is in string still why its removed?")</f>
        <v/>
      </c>
      <c r="L2152" t="inlineStr">
        <is>
          <t>2025-08-01 14:42:59.134 IST</t>
        </is>
      </c>
      <c r="M2152" t="inlineStr">
        <is>
          <t>Soundariya B</t>
        </is>
      </c>
      <c r="N2152" t="inlineStr">
        <is>
          <t>Yes</t>
        </is>
      </c>
      <c r="O2152" t="inlineStr">
        <is>
          <t>No</t>
        </is>
      </c>
      <c r="P2152" t="inlineStr"/>
      <c r="Q2152" t="inlineStr">
        <is>
          <t>Bad</t>
        </is>
      </c>
    </row>
    <row r="2153">
      <c r="A2153" t="inlineStr">
        <is>
          <t>dhruv.p</t>
        </is>
      </c>
      <c r="B2153" t="inlineStr">
        <is>
          <t>Dhruv Pahadia</t>
        </is>
      </c>
      <c r="C2153" t="inlineStr">
        <is>
          <t>dhruv.p@osmosys.co</t>
        </is>
      </c>
      <c r="D2153" t="inlineStr">
        <is>
          <t>incident-reporter</t>
        </is>
      </c>
      <c r="E2153">
        <f>HYPERLINK("http://gitlab.osmosys.co/incident-reporter/incident-reporter-angular-portal", "OQSHA Portal")</f>
        <v/>
      </c>
      <c r="F2153">
        <f>HYPERLINK("http://gitlab.osmosys.co/incident-reporter/incident-reporter-angular-portal/-/merge_requests/3663", "fix: show clarification comments without reloading")</f>
        <v/>
      </c>
      <c r="G2153" t="inlineStr">
        <is>
          <t>feat/clarification-comments</t>
        </is>
      </c>
      <c r="H2153" t="inlineStr">
        <is>
          <t>sprint-18</t>
        </is>
      </c>
      <c r="I2153" t="inlineStr">
        <is>
          <t>merged</t>
        </is>
      </c>
      <c r="J2153" t="inlineStr"/>
      <c r="K2153" t="inlineStr"/>
      <c r="L2153" t="inlineStr"/>
      <c r="M2153" t="inlineStr"/>
      <c r="N2153" t="inlineStr"/>
      <c r="O2153" t="inlineStr"/>
      <c r="P2153" t="inlineStr"/>
      <c r="Q2153" t="inlineStr"/>
    </row>
    <row r="2154">
      <c r="A2154" t="inlineStr">
        <is>
          <t>dhruv.p</t>
        </is>
      </c>
      <c r="B2154" t="inlineStr">
        <is>
          <t>Dhruv Pahadia</t>
        </is>
      </c>
      <c r="C2154" t="inlineStr">
        <is>
          <t>dhruv.p@osmosys.co</t>
        </is>
      </c>
      <c r="D2154" t="inlineStr">
        <is>
          <t>incident-reporter</t>
        </is>
      </c>
      <c r="E2154">
        <f>HYPERLINK("http://gitlab.osmosys.co/incident-reporter/incident-reporter-angular-portal", "OQSHA Portal")</f>
        <v/>
      </c>
      <c r="F2154">
        <f>HYPERLINK("http://gitlab.osmosys.co/incident-reporter/incident-reporter-angular-portal/-/merge_requests/3654", "fix: pssr modifications")</f>
        <v/>
      </c>
      <c r="G2154" t="inlineStr">
        <is>
          <t>feat/pssr-modifications</t>
        </is>
      </c>
      <c r="H2154" t="inlineStr">
        <is>
          <t>sprint-18</t>
        </is>
      </c>
      <c r="I2154" t="inlineStr">
        <is>
          <t>merged</t>
        </is>
      </c>
      <c r="J2154" t="inlineStr"/>
      <c r="K2154" t="inlineStr"/>
      <c r="L2154" t="inlineStr"/>
      <c r="M2154" t="inlineStr"/>
      <c r="N2154" t="inlineStr"/>
      <c r="O2154" t="inlineStr"/>
      <c r="P2154" t="inlineStr"/>
      <c r="Q2154" t="inlineStr"/>
    </row>
    <row r="2155">
      <c r="A2155" t="inlineStr">
        <is>
          <t>dhruv.p</t>
        </is>
      </c>
      <c r="B2155" t="inlineStr">
        <is>
          <t>Dhruv Pahadia</t>
        </is>
      </c>
      <c r="C2155" t="inlineStr">
        <is>
          <t>dhruv.p@osmosys.co</t>
        </is>
      </c>
      <c r="D2155" t="inlineStr">
        <is>
          <t>incident-reporter</t>
        </is>
      </c>
      <c r="E2155">
        <f>HYPERLINK("http://gitlab.osmosys.co/incident-reporter/incident-reporter-angular-portal", "OQSHA Portal")</f>
        <v/>
      </c>
      <c r="F2155">
        <f>HYPERLINK("http://gitlab.osmosys.co/incident-reporter/incident-reporter-angular-portal/-/merge_requests/3649", "fix: pssr department")</f>
        <v/>
      </c>
      <c r="G2155" t="inlineStr">
        <is>
          <t>fix/pssr-department</t>
        </is>
      </c>
      <c r="H2155" t="inlineStr">
        <is>
          <t>sprint-18</t>
        </is>
      </c>
      <c r="I2155" t="inlineStr">
        <is>
          <t>merged</t>
        </is>
      </c>
      <c r="J2155" t="inlineStr"/>
      <c r="K2155" t="inlineStr"/>
      <c r="L2155" t="inlineStr"/>
      <c r="M2155" t="inlineStr"/>
      <c r="N2155" t="inlineStr"/>
      <c r="O2155" t="inlineStr"/>
      <c r="P2155" t="inlineStr"/>
      <c r="Q2155" t="inlineStr"/>
    </row>
    <row r="2156">
      <c r="A2156" t="inlineStr">
        <is>
          <t>dhruv.p</t>
        </is>
      </c>
      <c r="B2156" t="inlineStr">
        <is>
          <t>Dhruv Pahadia</t>
        </is>
      </c>
      <c r="C2156" t="inlineStr">
        <is>
          <t>dhruv.p@osmosys.co</t>
        </is>
      </c>
      <c r="D2156" t="inlineStr">
        <is>
          <t>incident-reporter</t>
        </is>
      </c>
      <c r="E2156">
        <f>HYPERLINK("http://gitlab.osmosys.co/incident-reporter/incident-reporter-angular-portal", "OQSHA Portal")</f>
        <v/>
      </c>
      <c r="F2156">
        <f>HYPERLINK("http://gitlab.osmosys.co/incident-reporter/incident-reporter-angular-portal/-/merge_requests/3638", "feat: change pssr button label")</f>
        <v/>
      </c>
      <c r="G2156" t="inlineStr">
        <is>
          <t>feat/pssr-changes</t>
        </is>
      </c>
      <c r="H2156" t="inlineStr">
        <is>
          <t>sprint-18</t>
        </is>
      </c>
      <c r="I2156" t="inlineStr">
        <is>
          <t>merged</t>
        </is>
      </c>
      <c r="J2156" t="inlineStr"/>
      <c r="K2156" t="inlineStr"/>
      <c r="L2156" t="inlineStr"/>
      <c r="M2156" t="inlineStr"/>
      <c r="N2156" t="inlineStr"/>
      <c r="O2156" t="inlineStr"/>
      <c r="P2156" t="inlineStr"/>
      <c r="Q2156" t="inlineStr"/>
    </row>
    <row r="2157">
      <c r="A2157" t="inlineStr">
        <is>
          <t>dhruv.p</t>
        </is>
      </c>
      <c r="B2157" t="inlineStr">
        <is>
          <t>Dhruv Pahadia</t>
        </is>
      </c>
      <c r="C2157" t="inlineStr">
        <is>
          <t>dhruv.p@osmosys.co</t>
        </is>
      </c>
      <c r="D2157" t="inlineStr">
        <is>
          <t>incident-reporter</t>
        </is>
      </c>
      <c r="E2157">
        <f>HYPERLINK("http://gitlab.osmosys.co/incident-reporter/incident-reporter-angular-portal", "OQSHA Portal")</f>
        <v/>
      </c>
      <c r="F2157">
        <f>HYPERLINK("http://gitlab.osmosys.co/incident-reporter/incident-reporter-angular-portal/-/merge_requests/3625", "fix: moc filter preferences")</f>
        <v/>
      </c>
      <c r="G2157" t="inlineStr">
        <is>
          <t>fix/moc-filter-pref</t>
        </is>
      </c>
      <c r="H2157" t="inlineStr">
        <is>
          <t>sprint-18</t>
        </is>
      </c>
      <c r="I2157" t="inlineStr">
        <is>
          <t>opened</t>
        </is>
      </c>
      <c r="J2157" t="inlineStr"/>
      <c r="K2157" t="inlineStr"/>
      <c r="L2157" t="inlineStr"/>
      <c r="M2157" t="inlineStr"/>
      <c r="N2157" t="inlineStr"/>
      <c r="O2157" t="inlineStr"/>
      <c r="P2157" t="inlineStr"/>
      <c r="Q2157" t="inlineStr"/>
    </row>
    <row r="2158">
      <c r="A2158" t="inlineStr">
        <is>
          <t>dhruv.p</t>
        </is>
      </c>
      <c r="B2158" t="inlineStr">
        <is>
          <t>Dhruv Pahadia</t>
        </is>
      </c>
      <c r="C2158" t="inlineStr">
        <is>
          <t>dhruv.p@osmosys.co</t>
        </is>
      </c>
      <c r="D2158" t="inlineStr">
        <is>
          <t>incident-reporter</t>
        </is>
      </c>
      <c r="E2158">
        <f>HYPERLINK("http://gitlab.osmosys.co/incident-reporter/incident-reporter-angular-portal", "OQSHA Portal")</f>
        <v/>
      </c>
      <c r="F2158">
        <f>HYPERLINK("http://gitlab.osmosys.co/incident-reporter/incident-reporter-angular-portal/-/merge_requests/3621", "feat: restrict users from creating multiple active ptws")</f>
        <v/>
      </c>
      <c r="G2158" t="inlineStr">
        <is>
          <t>feat/restric-ptw</t>
        </is>
      </c>
      <c r="H2158" t="inlineStr">
        <is>
          <t>sprint-18</t>
        </is>
      </c>
      <c r="I2158" t="inlineStr">
        <is>
          <t>merged</t>
        </is>
      </c>
      <c r="J2158" t="inlineStr"/>
      <c r="K2158" t="inlineStr"/>
      <c r="L2158" t="inlineStr"/>
      <c r="M2158" t="inlineStr"/>
      <c r="N2158" t="inlineStr"/>
      <c r="O2158" t="inlineStr"/>
      <c r="P2158" t="inlineStr"/>
      <c r="Q2158" t="inlineStr"/>
    </row>
    <row r="2159">
      <c r="A2159" t="inlineStr">
        <is>
          <t>dhruv.p</t>
        </is>
      </c>
      <c r="B2159" t="inlineStr">
        <is>
          <t>Dhruv Pahadia</t>
        </is>
      </c>
      <c r="C2159" t="inlineStr">
        <is>
          <t>dhruv.p@osmosys.co</t>
        </is>
      </c>
      <c r="D2159" t="inlineStr">
        <is>
          <t>incident-reporter</t>
        </is>
      </c>
      <c r="E2159">
        <f>HYPERLINK("http://gitlab.osmosys.co/incident-reporter/incident-reporter-angular-portal", "OQSHA Portal")</f>
        <v/>
      </c>
      <c r="F2159">
        <f>HYPERLINK("http://gitlab.osmosys.co/incident-reporter/incident-reporter-angular-portal/-/merge_requests/3610", "feat: add pssr checks")</f>
        <v/>
      </c>
      <c r="G2159" t="inlineStr">
        <is>
          <t>feat/pssr-checks</t>
        </is>
      </c>
      <c r="H2159" t="inlineStr">
        <is>
          <t>sprint-18</t>
        </is>
      </c>
      <c r="I2159" t="inlineStr">
        <is>
          <t>merged</t>
        </is>
      </c>
      <c r="J2159" t="inlineStr"/>
      <c r="K2159" t="inlineStr"/>
      <c r="L2159" t="inlineStr"/>
      <c r="M2159" t="inlineStr"/>
      <c r="N2159" t="inlineStr"/>
      <c r="O2159" t="inlineStr"/>
      <c r="P2159" t="inlineStr"/>
      <c r="Q2159" t="inlineStr"/>
    </row>
    <row r="2160">
      <c r="A2160" t="inlineStr">
        <is>
          <t>dhruv.p</t>
        </is>
      </c>
      <c r="B2160" t="inlineStr">
        <is>
          <t>Dhruv Pahadia</t>
        </is>
      </c>
      <c r="C2160" t="inlineStr">
        <is>
          <t>dhruv.p@osmosys.co</t>
        </is>
      </c>
      <c r="D2160" t="inlineStr">
        <is>
          <t>incident-reporter</t>
        </is>
      </c>
      <c r="E2160">
        <f>HYPERLINK("http://gitlab.osmosys.co/incident-reporter/incident-reporter-angular-portal", "OQSHA Portal")</f>
        <v/>
      </c>
      <c r="F2160">
        <f>HYPERLINK("http://gitlab.osmosys.co/incident-reporter/incident-reporter-angular-portal/-/merge_requests/3586", "fix: fix approver getting undefined")</f>
        <v/>
      </c>
      <c r="G2160" t="inlineStr">
        <is>
          <t>fix/approver-issue</t>
        </is>
      </c>
      <c r="H2160" t="inlineStr">
        <is>
          <t>sprint-17</t>
        </is>
      </c>
      <c r="I2160" t="inlineStr">
        <is>
          <t>merged</t>
        </is>
      </c>
      <c r="J2160" t="inlineStr"/>
      <c r="K2160" t="inlineStr"/>
      <c r="L2160" t="inlineStr"/>
      <c r="M2160" t="inlineStr"/>
      <c r="N2160" t="inlineStr"/>
      <c r="O2160" t="inlineStr"/>
      <c r="P2160" t="inlineStr"/>
      <c r="Q2160" t="inlineStr"/>
    </row>
    <row r="2161">
      <c r="A2161" t="inlineStr">
        <is>
          <t>dhruv.p</t>
        </is>
      </c>
      <c r="B2161" t="inlineStr">
        <is>
          <t>Dhruv Pahadia</t>
        </is>
      </c>
      <c r="C2161" t="inlineStr">
        <is>
          <t>dhruv.p@osmosys.co</t>
        </is>
      </c>
      <c r="D2161" t="inlineStr">
        <is>
          <t>incident-reporter</t>
        </is>
      </c>
      <c r="E2161">
        <f>HYPERLINK("http://gitlab.osmosys.co/incident-reporter/incident-reporter-angular-portal", "OQSHA Portal")</f>
        <v/>
      </c>
      <c r="F2161">
        <f>HYPERLINK("http://gitlab.osmosys.co/incident-reporter/incident-reporter-angular-portal/-/merge_requests/3583", "fix: add fields to approver moc")</f>
        <v/>
      </c>
      <c r="G2161" t="inlineStr">
        <is>
          <t>fix/approver-moc</t>
        </is>
      </c>
      <c r="H2161" t="inlineStr">
        <is>
          <t>sprint-17</t>
        </is>
      </c>
      <c r="I2161" t="inlineStr">
        <is>
          <t>merged</t>
        </is>
      </c>
      <c r="J2161" t="inlineStr"/>
      <c r="K2161" t="inlineStr"/>
      <c r="L2161" t="inlineStr"/>
      <c r="M2161" t="inlineStr"/>
      <c r="N2161" t="inlineStr"/>
      <c r="O2161" t="inlineStr"/>
      <c r="P2161" t="inlineStr"/>
      <c r="Q2161" t="inlineStr"/>
    </row>
    <row r="2162">
      <c r="A2162" t="inlineStr">
        <is>
          <t>dhruv.p</t>
        </is>
      </c>
      <c r="B2162" t="inlineStr">
        <is>
          <t>Dhruv Pahadia</t>
        </is>
      </c>
      <c r="C2162" t="inlineStr">
        <is>
          <t>dhruv.p@osmosys.co</t>
        </is>
      </c>
      <c r="D2162" t="inlineStr">
        <is>
          <t>incident-reporter</t>
        </is>
      </c>
      <c r="E2162">
        <f>HYPERLINK("http://gitlab.osmosys.co/incident-reporter/incident-reporter-angular-portal", "OQSHA Portal")</f>
        <v/>
      </c>
      <c r="F2162">
        <f>HYPERLINK("http://gitlab.osmosys.co/incident-reporter/incident-reporter-angular-portal/-/merge_requests/3576", "fix: send correct data in payload")</f>
        <v/>
      </c>
      <c r="G2162" t="inlineStr">
        <is>
          <t>fix/moc-checks</t>
        </is>
      </c>
      <c r="H2162" t="inlineStr">
        <is>
          <t>sprint-17</t>
        </is>
      </c>
      <c r="I2162" t="inlineStr">
        <is>
          <t>merged</t>
        </is>
      </c>
      <c r="J2162" t="inlineStr"/>
      <c r="K2162" t="inlineStr"/>
      <c r="L2162" t="inlineStr"/>
      <c r="M2162" t="inlineStr"/>
      <c r="N2162" t="inlineStr"/>
      <c r="O2162" t="inlineStr"/>
      <c r="P2162" t="inlineStr"/>
      <c r="Q2162" t="inlineStr"/>
    </row>
    <row r="2163">
      <c r="A2163" t="inlineStr">
        <is>
          <t>dhruv.p</t>
        </is>
      </c>
      <c r="B2163" t="inlineStr">
        <is>
          <t>Dhruv Pahadia</t>
        </is>
      </c>
      <c r="C2163" t="inlineStr">
        <is>
          <t>dhruv.p@osmosys.co</t>
        </is>
      </c>
      <c r="D2163" t="inlineStr">
        <is>
          <t>incident-reporter</t>
        </is>
      </c>
      <c r="E2163">
        <f>HYPERLINK("http://gitlab.osmosys.co/incident-reporter/incident-reporter-angular-portal", "OQSHA Portal")</f>
        <v/>
      </c>
      <c r="F2163">
        <f>HYPERLINK("http://gitlab.osmosys.co/incident-reporter/incident-reporter-angular-portal/-/merge_requests/3570", "fix: send approver as empty array")</f>
        <v/>
      </c>
      <c r="G2163" t="inlineStr">
        <is>
          <t>fix/moc-approver-draft</t>
        </is>
      </c>
      <c r="H2163" t="inlineStr">
        <is>
          <t>sprint-17</t>
        </is>
      </c>
      <c r="I2163" t="inlineStr">
        <is>
          <t>merged</t>
        </is>
      </c>
      <c r="J2163" t="inlineStr"/>
      <c r="K2163" t="inlineStr"/>
      <c r="L2163" t="inlineStr"/>
      <c r="M2163" t="inlineStr"/>
      <c r="N2163" t="inlineStr"/>
      <c r="O2163" t="inlineStr"/>
      <c r="P2163" t="inlineStr"/>
      <c r="Q2163" t="inlineStr"/>
    </row>
    <row r="2164">
      <c r="A2164" t="inlineStr">
        <is>
          <t>dhruv.p</t>
        </is>
      </c>
      <c r="B2164" t="inlineStr">
        <is>
          <t>Dhruv Pahadia</t>
        </is>
      </c>
      <c r="C2164" t="inlineStr">
        <is>
          <t>dhruv.p@osmosys.co</t>
        </is>
      </c>
      <c r="D2164" t="inlineStr">
        <is>
          <t>incident-reporter</t>
        </is>
      </c>
      <c r="E2164">
        <f>HYPERLINK("http://gitlab.osmosys.co/incident-reporter/incident-reporter-angular-portal", "OQSHA Portal")</f>
        <v/>
      </c>
      <c r="F2164">
        <f>HYPERLINK("http://gitlab.osmosys.co/incident-reporter/incident-reporter-angular-portal/-/merge_requests/3562", "fix: duplicate moc")</f>
        <v/>
      </c>
      <c r="G2164" t="inlineStr">
        <is>
          <t>fix/duplicate-moc</t>
        </is>
      </c>
      <c r="H2164" t="inlineStr">
        <is>
          <t>sprint-17</t>
        </is>
      </c>
      <c r="I2164" t="inlineStr">
        <is>
          <t>merged</t>
        </is>
      </c>
      <c r="J2164" t="inlineStr"/>
      <c r="K2164" t="inlineStr"/>
      <c r="L2164" t="inlineStr"/>
      <c r="M2164" t="inlineStr"/>
      <c r="N2164" t="inlineStr"/>
      <c r="O2164" t="inlineStr"/>
      <c r="P2164" t="inlineStr"/>
      <c r="Q2164" t="inlineStr"/>
    </row>
    <row r="2165">
      <c r="A2165" t="inlineStr">
        <is>
          <t>dhruv.p</t>
        </is>
      </c>
      <c r="B2165" t="inlineStr">
        <is>
          <t>Dhruv Pahadia</t>
        </is>
      </c>
      <c r="C2165" t="inlineStr">
        <is>
          <t>dhruv.p@osmosys.co</t>
        </is>
      </c>
      <c r="D2165" t="inlineStr">
        <is>
          <t>incident-reporter</t>
        </is>
      </c>
      <c r="E2165">
        <f>HYPERLINK("http://gitlab.osmosys.co/incident-reporter/incident-reporter-angular-portal", "OQSHA Portal")</f>
        <v/>
      </c>
      <c r="F2165">
        <f>HYPERLINK("http://gitlab.osmosys.co/incident-reporter/incident-reporter-angular-portal/-/merge_requests/3556", "Feat/moc changes")</f>
        <v/>
      </c>
      <c r="G2165" t="inlineStr">
        <is>
          <t>feat/moc-changes</t>
        </is>
      </c>
      <c r="H2165" t="inlineStr">
        <is>
          <t>sprint-17</t>
        </is>
      </c>
      <c r="I2165" t="inlineStr">
        <is>
          <t>merged</t>
        </is>
      </c>
      <c r="J2165" t="inlineStr"/>
      <c r="K2165" t="inlineStr"/>
      <c r="L2165" t="inlineStr"/>
      <c r="M2165" t="inlineStr"/>
      <c r="N2165" t="inlineStr"/>
      <c r="O2165" t="inlineStr"/>
      <c r="P2165" t="inlineStr"/>
      <c r="Q2165" t="inlineStr"/>
    </row>
    <row r="2166">
      <c r="A2166" t="inlineStr">
        <is>
          <t>dhruv.p</t>
        </is>
      </c>
      <c r="B2166" t="inlineStr">
        <is>
          <t>Dhruv Pahadia</t>
        </is>
      </c>
      <c r="C2166" t="inlineStr">
        <is>
          <t>dhruv.p@osmosys.co</t>
        </is>
      </c>
      <c r="D2166" t="inlineStr">
        <is>
          <t>incident-reporter</t>
        </is>
      </c>
      <c r="E2166">
        <f>HYPERLINK("http://gitlab.osmosys.co/incident-reporter/incident-reporter-angular-portal", "OQSHA Portal")</f>
        <v/>
      </c>
      <c r="F2166">
        <f>HYPERLINK("http://gitlab.osmosys.co/incident-reporter/incident-reporter-angular-portal/-/merge_requests/3547", "fix: fix moc issues")</f>
        <v/>
      </c>
      <c r="G2166" t="inlineStr">
        <is>
          <t>fix/moc-fixes</t>
        </is>
      </c>
      <c r="H2166" t="inlineStr">
        <is>
          <t>sprint-17</t>
        </is>
      </c>
      <c r="I2166" t="inlineStr">
        <is>
          <t>merged</t>
        </is>
      </c>
      <c r="J2166" t="inlineStr"/>
      <c r="K2166" t="inlineStr"/>
      <c r="L2166" t="inlineStr"/>
      <c r="M2166" t="inlineStr"/>
      <c r="N2166" t="inlineStr"/>
      <c r="O2166" t="inlineStr"/>
      <c r="P2166" t="inlineStr"/>
      <c r="Q2166" t="inlineStr"/>
    </row>
    <row r="2167">
      <c r="A2167" t="inlineStr">
        <is>
          <t>dhruv.p</t>
        </is>
      </c>
      <c r="B2167" t="inlineStr">
        <is>
          <t>Dhruv Pahadia</t>
        </is>
      </c>
      <c r="C2167" t="inlineStr">
        <is>
          <t>dhruv.p@osmosys.co</t>
        </is>
      </c>
      <c r="D2167" t="inlineStr">
        <is>
          <t>incident-reporter</t>
        </is>
      </c>
      <c r="E2167">
        <f>HYPERLINK("http://gitlab.osmosys.co/incident-reporter/incident-reporter-angular-portal", "OQSHA Portal")</f>
        <v/>
      </c>
      <c r="F2167">
        <f>HYPERLINK("http://gitlab.osmosys.co/incident-reporter/incident-reporter-angular-portal/-/merge_requests/3539", "fix: add moc clarification validation for initiator")</f>
        <v/>
      </c>
      <c r="G2167" t="inlineStr">
        <is>
          <t>fix/moc-clarification-validation</t>
        </is>
      </c>
      <c r="H2167" t="inlineStr">
        <is>
          <t>sprint-17</t>
        </is>
      </c>
      <c r="I2167" t="inlineStr">
        <is>
          <t>merged</t>
        </is>
      </c>
      <c r="J2167" t="inlineStr">
        <is>
          <t>3aa50e056ecc14ab0ec94989977dbf78dd7ebeee</t>
        </is>
      </c>
      <c r="K2167">
        <f>HYPERLINK("http://gitlab.osmosys.co/incident-reporter/incident-reporter-angular-portal/-/merge_requests/3539#note_240447", "Why these are added again and removed from global CSS?")</f>
        <v/>
      </c>
      <c r="L2167" t="inlineStr">
        <is>
          <t>2025-07-22 18:44:07.952 IST</t>
        </is>
      </c>
      <c r="M2167" t="inlineStr">
        <is>
          <t>Soundariya B</t>
        </is>
      </c>
      <c r="N2167" t="inlineStr">
        <is>
          <t>Yes</t>
        </is>
      </c>
      <c r="O2167" t="inlineStr">
        <is>
          <t>Yes</t>
        </is>
      </c>
      <c r="P2167" t="inlineStr">
        <is>
          <t>Soundariya B</t>
        </is>
      </c>
      <c r="Q2167" t="inlineStr">
        <is>
          <t>Neutral</t>
        </is>
      </c>
    </row>
    <row r="2168">
      <c r="A2168" t="inlineStr">
        <is>
          <t>dhruv.p</t>
        </is>
      </c>
      <c r="B2168" t="inlineStr">
        <is>
          <t>Dhruv Pahadia</t>
        </is>
      </c>
      <c r="C2168" t="inlineStr">
        <is>
          <t>dhruv.p@osmosys.co</t>
        </is>
      </c>
      <c r="D2168" t="inlineStr">
        <is>
          <t>incident-reporter</t>
        </is>
      </c>
      <c r="E2168">
        <f>HYPERLINK("http://gitlab.osmosys.co/incident-reporter/incident-reporter-angular-portal", "OQSHA Portal")</f>
        <v/>
      </c>
      <c r="F2168">
        <f>HYPERLINK("http://gitlab.osmosys.co/incident-reporter/incident-reporter-angular-portal/-/merge_requests/3539", "fix: add moc clarification validation for initiator")</f>
        <v/>
      </c>
      <c r="G2168" t="inlineStr">
        <is>
          <t>fix/moc-clarification-validation</t>
        </is>
      </c>
      <c r="H2168" t="inlineStr">
        <is>
          <t>sprint-17</t>
        </is>
      </c>
      <c r="I2168" t="inlineStr">
        <is>
          <t>merged</t>
        </is>
      </c>
      <c r="J2168" t="inlineStr">
        <is>
          <t>3aa50e056ecc14ab0ec94989977dbf78dd7ebeee</t>
        </is>
      </c>
      <c r="K2168">
        <f>HYPERLINK("http://gitlab.osmosys.co/incident-reporter/incident-reporter-angular-portal/-/merge_requests/3539#note_240453", "Actually when I added these in global many other portal pages had their scss changed because many people have used w-30, w-15.... differently.
So I dont want to risk changing things in global this close to production.")</f>
        <v/>
      </c>
      <c r="L2168" t="inlineStr">
        <is>
          <t>2025-07-22 18:50:07.063 IST</t>
        </is>
      </c>
      <c r="M2168" t="inlineStr">
        <is>
          <t>Dhruv Pahadia</t>
        </is>
      </c>
      <c r="N2168" t="inlineStr">
        <is>
          <t>No</t>
        </is>
      </c>
      <c r="O2168" t="inlineStr">
        <is>
          <t>Yes</t>
        </is>
      </c>
      <c r="P2168" t="inlineStr">
        <is>
          <t>Soundariya B</t>
        </is>
      </c>
      <c r="Q2168" t="inlineStr">
        <is>
          <t>Neutral</t>
        </is>
      </c>
    </row>
    <row r="2169">
      <c r="A2169" t="inlineStr">
        <is>
          <t>dhruv.p</t>
        </is>
      </c>
      <c r="B2169" t="inlineStr">
        <is>
          <t>Dhruv Pahadia</t>
        </is>
      </c>
      <c r="C2169" t="inlineStr">
        <is>
          <t>dhruv.p@osmosys.co</t>
        </is>
      </c>
      <c r="D2169" t="inlineStr">
        <is>
          <t>incident-reporter</t>
        </is>
      </c>
      <c r="E2169">
        <f>HYPERLINK("http://gitlab.osmosys.co/incident-reporter/incident-reporter-angular-portal", "OQSHA Portal")</f>
        <v/>
      </c>
      <c r="F2169">
        <f>HYPERLINK("http://gitlab.osmosys.co/incident-reporter/incident-reporter-angular-portal/-/merge_requests/3539", "fix: add moc clarification validation for initiator")</f>
        <v/>
      </c>
      <c r="G2169" t="inlineStr">
        <is>
          <t>fix/moc-clarification-validation</t>
        </is>
      </c>
      <c r="H2169" t="inlineStr">
        <is>
          <t>sprint-17</t>
        </is>
      </c>
      <c r="I2169" t="inlineStr">
        <is>
          <t>merged</t>
        </is>
      </c>
      <c r="J2169" t="inlineStr">
        <is>
          <t>f20a896c496592f5544f1293c21de1447bc4474d</t>
        </is>
      </c>
      <c r="K2169">
        <f>HYPERLINK("http://gitlab.osmosys.co/incident-reporter/incident-reporter-angular-portal/-/merge_requests/3539#note_240448", "Add the test case or screen recording to check the behavior")</f>
        <v/>
      </c>
      <c r="L2169" t="inlineStr">
        <is>
          <t>2025-07-22 18:44:08.005 IST</t>
        </is>
      </c>
      <c r="M2169" t="inlineStr">
        <is>
          <t>Soundariya B</t>
        </is>
      </c>
      <c r="N2169" t="inlineStr">
        <is>
          <t>Yes</t>
        </is>
      </c>
      <c r="O2169" t="inlineStr">
        <is>
          <t>Yes</t>
        </is>
      </c>
      <c r="P2169" t="inlineStr">
        <is>
          <t>Soundariya B</t>
        </is>
      </c>
      <c r="Q2169" t="inlineStr">
        <is>
          <t>Good</t>
        </is>
      </c>
    </row>
    <row r="2170">
      <c r="A2170" t="inlineStr">
        <is>
          <t>dhruv.p</t>
        </is>
      </c>
      <c r="B2170" t="inlineStr">
        <is>
          <t>Dhruv Pahadia</t>
        </is>
      </c>
      <c r="C2170" t="inlineStr">
        <is>
          <t>dhruv.p@osmosys.co</t>
        </is>
      </c>
      <c r="D2170" t="inlineStr">
        <is>
          <t>incident-reporter</t>
        </is>
      </c>
      <c r="E2170">
        <f>HYPERLINK("http://gitlab.osmosys.co/incident-reporter/incident-reporter-angular-portal", "OQSHA Portal")</f>
        <v/>
      </c>
      <c r="F2170">
        <f>HYPERLINK("http://gitlab.osmosys.co/incident-reporter/incident-reporter-angular-portal/-/merge_requests/3539", "fix: add moc clarification validation for initiator")</f>
        <v/>
      </c>
      <c r="G2170" t="inlineStr">
        <is>
          <t>fix/moc-clarification-validation</t>
        </is>
      </c>
      <c r="H2170" t="inlineStr">
        <is>
          <t>sprint-17</t>
        </is>
      </c>
      <c r="I2170" t="inlineStr">
        <is>
          <t>merged</t>
        </is>
      </c>
      <c r="J2170" t="inlineStr">
        <is>
          <t>f20a896c496592f5544f1293c21de1447bc4474d</t>
        </is>
      </c>
      <c r="K2170">
        <f>HYPERLINK("http://gitlab.osmosys.co/incident-reporter/incident-reporter-angular-portal/-/merge_requests/3539#note_240462", "Added test cases")</f>
        <v/>
      </c>
      <c r="L2170" t="inlineStr">
        <is>
          <t>2025-07-22 18:54:34.591 IST</t>
        </is>
      </c>
      <c r="M2170" t="inlineStr">
        <is>
          <t>Dhruv Pahadia</t>
        </is>
      </c>
      <c r="N2170" t="inlineStr">
        <is>
          <t>No</t>
        </is>
      </c>
      <c r="O2170" t="inlineStr">
        <is>
          <t>Yes</t>
        </is>
      </c>
      <c r="P2170" t="inlineStr">
        <is>
          <t>Soundariya B</t>
        </is>
      </c>
      <c r="Q2170" t="inlineStr">
        <is>
          <t>Good</t>
        </is>
      </c>
    </row>
    <row r="2171">
      <c r="A2171" t="inlineStr">
        <is>
          <t>dhruv.p</t>
        </is>
      </c>
      <c r="B2171" t="inlineStr">
        <is>
          <t>Dhruv Pahadia</t>
        </is>
      </c>
      <c r="C2171" t="inlineStr">
        <is>
          <t>dhruv.p@osmosys.co</t>
        </is>
      </c>
      <c r="D2171" t="inlineStr">
        <is>
          <t>incident-reporter</t>
        </is>
      </c>
      <c r="E2171">
        <f>HYPERLINK("http://gitlab.osmosys.co/incident-reporter/incident-reporter-angular-portal", "OQSHA Portal")</f>
        <v/>
      </c>
      <c r="F2171">
        <f>HYPERLINK("http://gitlab.osmosys.co/incident-reporter/incident-reporter-angular-portal/-/merge_requests/3535", "fix: save moc-filter preferences")</f>
        <v/>
      </c>
      <c r="G2171" t="inlineStr">
        <is>
          <t>fix/moc-filter</t>
        </is>
      </c>
      <c r="H2171" t="inlineStr">
        <is>
          <t>sprint-17</t>
        </is>
      </c>
      <c r="I2171" t="inlineStr">
        <is>
          <t>merged</t>
        </is>
      </c>
      <c r="J2171" t="inlineStr"/>
      <c r="K2171" t="inlineStr"/>
      <c r="L2171" t="inlineStr"/>
      <c r="M2171" t="inlineStr"/>
      <c r="N2171" t="inlineStr"/>
      <c r="O2171" t="inlineStr"/>
      <c r="P2171" t="inlineStr"/>
      <c r="Q2171" t="inlineStr"/>
    </row>
    <row r="2172">
      <c r="A2172" t="inlineStr">
        <is>
          <t>dhruv.p</t>
        </is>
      </c>
      <c r="B2172" t="inlineStr">
        <is>
          <t>Dhruv Pahadia</t>
        </is>
      </c>
      <c r="C2172" t="inlineStr">
        <is>
          <t>dhruv.p@osmosys.co</t>
        </is>
      </c>
      <c r="D2172" t="inlineStr">
        <is>
          <t>incident-reporter</t>
        </is>
      </c>
      <c r="E2172">
        <f>HYPERLINK("http://gitlab.osmosys.co/incident-reporter/incident-reporter-angular-portal", "OQSHA Portal")</f>
        <v/>
      </c>
      <c r="F2172">
        <f>HYPERLINK("http://gitlab.osmosys.co/incident-reporter/incident-reporter-angular-portal/-/merge_requests/3526", "feat: implement moc clarification")</f>
        <v/>
      </c>
      <c r="G2172" t="inlineStr">
        <is>
          <t>feat/moc-clarification</t>
        </is>
      </c>
      <c r="H2172" t="inlineStr">
        <is>
          <t>sprint-17</t>
        </is>
      </c>
      <c r="I2172" t="inlineStr">
        <is>
          <t>merged</t>
        </is>
      </c>
      <c r="J2172" t="inlineStr">
        <is>
          <t>607ac78e99e69dd333bf7b791e4d5066e2533229</t>
        </is>
      </c>
      <c r="K2172">
        <f>HYPERLINK("http://gitlab.osmosys.co/incident-reporter/incident-reporter-angular-portal/-/merge_requests/3526#note_239629", "![image.png](/uploads/46198107de9420e40e227655edba7bfe/image.png)")</f>
        <v/>
      </c>
      <c r="L2172" t="inlineStr">
        <is>
          <t>2025-07-22 00:36:04.985 IST</t>
        </is>
      </c>
      <c r="M2172" t="inlineStr">
        <is>
          <t>Soundariya B</t>
        </is>
      </c>
      <c r="N2172" t="inlineStr">
        <is>
          <t>Yes</t>
        </is>
      </c>
      <c r="O2172" t="inlineStr">
        <is>
          <t>Yes</t>
        </is>
      </c>
      <c r="P2172" t="inlineStr">
        <is>
          <t>Soundariya B</t>
        </is>
      </c>
      <c r="Q2172" t="inlineStr">
        <is>
          <t>Neutral</t>
        </is>
      </c>
    </row>
    <row r="2173">
      <c r="A2173" t="inlineStr">
        <is>
          <t>dhruv.p</t>
        </is>
      </c>
      <c r="B2173" t="inlineStr">
        <is>
          <t>Dhruv Pahadia</t>
        </is>
      </c>
      <c r="C2173" t="inlineStr">
        <is>
          <t>dhruv.p@osmosys.co</t>
        </is>
      </c>
      <c r="D2173" t="inlineStr">
        <is>
          <t>incident-reporter</t>
        </is>
      </c>
      <c r="E2173">
        <f>HYPERLINK("http://gitlab.osmosys.co/incident-reporter/incident-reporter-angular-portal", "OQSHA Portal")</f>
        <v/>
      </c>
      <c r="F2173">
        <f>HYPERLINK("http://gitlab.osmosys.co/incident-reporter/incident-reporter-angular-portal/-/merge_requests/3526", "feat: implement moc clarification")</f>
        <v/>
      </c>
      <c r="G2173" t="inlineStr">
        <is>
          <t>feat/moc-clarification</t>
        </is>
      </c>
      <c r="H2173" t="inlineStr">
        <is>
          <t>sprint-17</t>
        </is>
      </c>
      <c r="I2173" t="inlineStr">
        <is>
          <t>merged</t>
        </is>
      </c>
      <c r="J2173" t="inlineStr">
        <is>
          <t>607ac78e99e69dd333bf7b791e4d5066e2533229</t>
        </is>
      </c>
      <c r="K2173">
        <f>HYPERLINK("http://gitlab.osmosys.co/incident-reporter/incident-reporter-angular-portal/-/merge_requests/3526#note_239812", "Since the answer and clarification can be very long, due to better readability I have made this choice, have informed Raj as well.")</f>
        <v/>
      </c>
      <c r="L2173" t="inlineStr">
        <is>
          <t>2025-07-22 10:54:00.603 IST</t>
        </is>
      </c>
      <c r="M2173" t="inlineStr">
        <is>
          <t>Dhruv Pahadia</t>
        </is>
      </c>
      <c r="N2173" t="inlineStr">
        <is>
          <t>No</t>
        </is>
      </c>
      <c r="O2173" t="inlineStr">
        <is>
          <t>Yes</t>
        </is>
      </c>
      <c r="P2173" t="inlineStr">
        <is>
          <t>Soundariya B</t>
        </is>
      </c>
      <c r="Q2173" t="inlineStr">
        <is>
          <t>Neutral</t>
        </is>
      </c>
    </row>
    <row r="2174">
      <c r="A2174" t="inlineStr">
        <is>
          <t>dhruv.p</t>
        </is>
      </c>
      <c r="B2174" t="inlineStr">
        <is>
          <t>Dhruv Pahadia</t>
        </is>
      </c>
      <c r="C2174" t="inlineStr">
        <is>
          <t>dhruv.p@osmosys.co</t>
        </is>
      </c>
      <c r="D2174" t="inlineStr">
        <is>
          <t>incident-reporter</t>
        </is>
      </c>
      <c r="E2174">
        <f>HYPERLINK("http://gitlab.osmosys.co/incident-reporter/incident-reporter-angular-portal", "OQSHA Portal")</f>
        <v/>
      </c>
      <c r="F2174">
        <f>HYPERLINK("http://gitlab.osmosys.co/incident-reporter/incident-reporter-angular-portal/-/merge_requests/3526", "feat: implement moc clarification")</f>
        <v/>
      </c>
      <c r="G2174" t="inlineStr">
        <is>
          <t>feat/moc-clarification</t>
        </is>
      </c>
      <c r="H2174" t="inlineStr">
        <is>
          <t>sprint-17</t>
        </is>
      </c>
      <c r="I2174" t="inlineStr">
        <is>
          <t>merged</t>
        </is>
      </c>
      <c r="J2174" t="inlineStr">
        <is>
          <t>607ac78e99e69dd333bf7b791e4d5066e2533229</t>
        </is>
      </c>
      <c r="K2174">
        <f>HYPERLINK("http://gitlab.osmosys.co/incident-reporter/incident-reporter-angular-portal/-/merge_requests/3526#note_239815", "![image](/uploads/e2688d99a8a8a699cfb94f27992114de/image.png)")</f>
        <v/>
      </c>
      <c r="L2174" t="inlineStr">
        <is>
          <t>2025-07-22 10:55:23.049 IST</t>
        </is>
      </c>
      <c r="M2174" t="inlineStr">
        <is>
          <t>Dhruv Pahadia</t>
        </is>
      </c>
      <c r="N2174" t="inlineStr">
        <is>
          <t>No</t>
        </is>
      </c>
      <c r="O2174" t="inlineStr">
        <is>
          <t>Yes</t>
        </is>
      </c>
      <c r="P2174" t="inlineStr">
        <is>
          <t>Soundariya B</t>
        </is>
      </c>
      <c r="Q2174" t="inlineStr">
        <is>
          <t>Neutral</t>
        </is>
      </c>
    </row>
    <row r="2175">
      <c r="A2175" t="inlineStr">
        <is>
          <t>dhruv.p</t>
        </is>
      </c>
      <c r="B2175" t="inlineStr">
        <is>
          <t>Dhruv Pahadia</t>
        </is>
      </c>
      <c r="C2175" t="inlineStr">
        <is>
          <t>dhruv.p@osmosys.co</t>
        </is>
      </c>
      <c r="D2175" t="inlineStr">
        <is>
          <t>incident-reporter</t>
        </is>
      </c>
      <c r="E2175">
        <f>HYPERLINK("http://gitlab.osmosys.co/incident-reporter/incident-reporter-angular-portal", "OQSHA Portal")</f>
        <v/>
      </c>
      <c r="F2175">
        <f>HYPERLINK("http://gitlab.osmosys.co/incident-reporter/incident-reporter-angular-portal/-/merge_requests/3526", "feat: implement moc clarification")</f>
        <v/>
      </c>
      <c r="G2175" t="inlineStr">
        <is>
          <t>feat/moc-clarification</t>
        </is>
      </c>
      <c r="H2175" t="inlineStr">
        <is>
          <t>sprint-17</t>
        </is>
      </c>
      <c r="I2175" t="inlineStr">
        <is>
          <t>merged</t>
        </is>
      </c>
      <c r="J2175" t="inlineStr">
        <is>
          <t>607ac78e99e69dd333bf7b791e4d5066e2533229</t>
        </is>
      </c>
      <c r="K2175">
        <f>HYPERLINK("http://gitlab.osmosys.co/incident-reporter/incident-reporter-angular-portal/-/merge_requests/3526#note_239909", "What about edit button and cancel &amp; submit button ?")</f>
        <v/>
      </c>
      <c r="L2175" t="inlineStr">
        <is>
          <t>2025-07-22 11:33:35.192 IST</t>
        </is>
      </c>
      <c r="M2175" t="inlineStr">
        <is>
          <t>Soundariya B</t>
        </is>
      </c>
      <c r="N2175" t="inlineStr">
        <is>
          <t>Yes</t>
        </is>
      </c>
      <c r="O2175" t="inlineStr">
        <is>
          <t>Yes</t>
        </is>
      </c>
      <c r="P2175" t="inlineStr">
        <is>
          <t>Soundariya B</t>
        </is>
      </c>
      <c r="Q2175" t="inlineStr">
        <is>
          <t>Neutral</t>
        </is>
      </c>
    </row>
    <row r="2176">
      <c r="A2176" t="inlineStr">
        <is>
          <t>dhruv.p</t>
        </is>
      </c>
      <c r="B2176" t="inlineStr">
        <is>
          <t>Dhruv Pahadia</t>
        </is>
      </c>
      <c r="C2176" t="inlineStr">
        <is>
          <t>dhruv.p@osmosys.co</t>
        </is>
      </c>
      <c r="D2176" t="inlineStr">
        <is>
          <t>incident-reporter</t>
        </is>
      </c>
      <c r="E2176">
        <f>HYPERLINK("http://gitlab.osmosys.co/incident-reporter/incident-reporter-angular-portal", "OQSHA Portal")</f>
        <v/>
      </c>
      <c r="F2176">
        <f>HYPERLINK("http://gitlab.osmosys.co/incident-reporter/incident-reporter-angular-portal/-/merge_requests/3526", "feat: implement moc clarification")</f>
        <v/>
      </c>
      <c r="G2176" t="inlineStr">
        <is>
          <t>feat/moc-clarification</t>
        </is>
      </c>
      <c r="H2176" t="inlineStr">
        <is>
          <t>sprint-17</t>
        </is>
      </c>
      <c r="I2176" t="inlineStr">
        <is>
          <t>merged</t>
        </is>
      </c>
      <c r="J2176" t="inlineStr">
        <is>
          <t>607ac78e99e69dd333bf7b791e4d5066e2533229</t>
        </is>
      </c>
      <c r="K2176">
        <f>HYPERLINK("http://gitlab.osmosys.co/incident-reporter/incident-reporter-angular-portal/-/merge_requests/3526#note_239969", "That is what I have attached the screenshot for, Raj has said the placement is ok")</f>
        <v/>
      </c>
      <c r="L2176" t="inlineStr">
        <is>
          <t>2025-07-22 12:04:32.135 IST</t>
        </is>
      </c>
      <c r="M2176" t="inlineStr">
        <is>
          <t>Dhruv Pahadia</t>
        </is>
      </c>
      <c r="N2176" t="inlineStr">
        <is>
          <t>No</t>
        </is>
      </c>
      <c r="O2176" t="inlineStr">
        <is>
          <t>Yes</t>
        </is>
      </c>
      <c r="P2176" t="inlineStr">
        <is>
          <t>Soundariya B</t>
        </is>
      </c>
      <c r="Q2176" t="inlineStr">
        <is>
          <t>Neutral</t>
        </is>
      </c>
    </row>
    <row r="2177">
      <c r="A2177" t="inlineStr">
        <is>
          <t>dhruv.p</t>
        </is>
      </c>
      <c r="B2177" t="inlineStr">
        <is>
          <t>Dhruv Pahadia</t>
        </is>
      </c>
      <c r="C2177" t="inlineStr">
        <is>
          <t>dhruv.p@osmosys.co</t>
        </is>
      </c>
      <c r="D2177" t="inlineStr">
        <is>
          <t>incident-reporter</t>
        </is>
      </c>
      <c r="E2177">
        <f>HYPERLINK("http://gitlab.osmosys.co/incident-reporter/incident-reporter-angular-portal", "OQSHA Portal")</f>
        <v/>
      </c>
      <c r="F2177">
        <f>HYPERLINK("http://gitlab.osmosys.co/incident-reporter/incident-reporter-angular-portal/-/merge_requests/3526", "feat: implement moc clarification")</f>
        <v/>
      </c>
      <c r="G2177" t="inlineStr">
        <is>
          <t>feat/moc-clarification</t>
        </is>
      </c>
      <c r="H2177" t="inlineStr">
        <is>
          <t>sprint-17</t>
        </is>
      </c>
      <c r="I2177" t="inlineStr">
        <is>
          <t>merged</t>
        </is>
      </c>
      <c r="J2177" t="inlineStr">
        <is>
          <t>8df004453bfdd579f1ef6a9c670ead9409f5f5dd</t>
        </is>
      </c>
      <c r="K2177">
        <f>HYPERLINK("http://gitlab.osmosys.co/incident-reporter/incident-reporter-angular-portal/-/merge_requests/3526#note_239630", "Use block structure")</f>
        <v/>
      </c>
      <c r="L2177" t="inlineStr">
        <is>
          <t>2025-07-22 00:36:05.062 IST</t>
        </is>
      </c>
      <c r="M2177" t="inlineStr">
        <is>
          <t>Soundariya B</t>
        </is>
      </c>
      <c r="N2177" t="inlineStr">
        <is>
          <t>Yes</t>
        </is>
      </c>
      <c r="O2177" t="inlineStr">
        <is>
          <t>Yes</t>
        </is>
      </c>
      <c r="P2177" t="inlineStr">
        <is>
          <t>Soundariya B</t>
        </is>
      </c>
      <c r="Q2177" t="inlineStr">
        <is>
          <t>Bad</t>
        </is>
      </c>
    </row>
    <row r="2178">
      <c r="A2178" t="inlineStr">
        <is>
          <t>dhruv.p</t>
        </is>
      </c>
      <c r="B2178" t="inlineStr">
        <is>
          <t>Dhruv Pahadia</t>
        </is>
      </c>
      <c r="C2178" t="inlineStr">
        <is>
          <t>dhruv.p@osmosys.co</t>
        </is>
      </c>
      <c r="D2178" t="inlineStr">
        <is>
          <t>incident-reporter</t>
        </is>
      </c>
      <c r="E2178">
        <f>HYPERLINK("http://gitlab.osmosys.co/incident-reporter/incident-reporter-angular-portal", "OQSHA Portal")</f>
        <v/>
      </c>
      <c r="F2178">
        <f>HYPERLINK("http://gitlab.osmosys.co/incident-reporter/incident-reporter-angular-portal/-/merge_requests/3526", "feat: implement moc clarification")</f>
        <v/>
      </c>
      <c r="G2178" t="inlineStr">
        <is>
          <t>feat/moc-clarification</t>
        </is>
      </c>
      <c r="H2178" t="inlineStr">
        <is>
          <t>sprint-17</t>
        </is>
      </c>
      <c r="I2178" t="inlineStr">
        <is>
          <t>merged</t>
        </is>
      </c>
      <c r="J2178" t="inlineStr">
        <is>
          <t>8df004453bfdd579f1ef6a9c670ead9409f5f5dd</t>
        </is>
      </c>
      <c r="K2178">
        <f>HYPERLINK("http://gitlab.osmosys.co/incident-reporter/incident-reporter-angular-portal/-/merge_requests/3526#note_239816", "fixed")</f>
        <v/>
      </c>
      <c r="L2178" t="inlineStr">
        <is>
          <t>2025-07-22 10:56:44.109 IST</t>
        </is>
      </c>
      <c r="M2178" t="inlineStr">
        <is>
          <t>Dhruv Pahadia</t>
        </is>
      </c>
      <c r="N2178" t="inlineStr">
        <is>
          <t>No</t>
        </is>
      </c>
      <c r="O2178" t="inlineStr">
        <is>
          <t>Yes</t>
        </is>
      </c>
      <c r="P2178" t="inlineStr">
        <is>
          <t>Soundariya B</t>
        </is>
      </c>
      <c r="Q2178" t="inlineStr">
        <is>
          <t>Bad</t>
        </is>
      </c>
    </row>
    <row r="2179">
      <c r="A2179" t="inlineStr">
        <is>
          <t>dhruv.p</t>
        </is>
      </c>
      <c r="B2179" t="inlineStr">
        <is>
          <t>Dhruv Pahadia</t>
        </is>
      </c>
      <c r="C2179" t="inlineStr">
        <is>
          <t>dhruv.p@osmosys.co</t>
        </is>
      </c>
      <c r="D2179" t="inlineStr">
        <is>
          <t>incident-reporter</t>
        </is>
      </c>
      <c r="E2179">
        <f>HYPERLINK("http://gitlab.osmosys.co/incident-reporter/incident-reporter-angular-portal", "OQSHA Portal")</f>
        <v/>
      </c>
      <c r="F2179">
        <f>HYPERLINK("http://gitlab.osmosys.co/incident-reporter/incident-reporter-angular-portal/-/merge_requests/3526", "feat: implement moc clarification")</f>
        <v/>
      </c>
      <c r="G2179" t="inlineStr">
        <is>
          <t>feat/moc-clarification</t>
        </is>
      </c>
      <c r="H2179" t="inlineStr">
        <is>
          <t>sprint-17</t>
        </is>
      </c>
      <c r="I2179" t="inlineStr">
        <is>
          <t>merged</t>
        </is>
      </c>
      <c r="J2179" t="inlineStr">
        <is>
          <t>8df004453bfdd579f1ef6a9c670ead9409f5f5dd</t>
        </is>
      </c>
      <c r="K2179">
        <f>HYPERLINK("http://gitlab.osmosys.co/incident-reporter/incident-reporter-angular-portal/-/merge_requests/3526#note_239914", "Not yet fixed")</f>
        <v/>
      </c>
      <c r="L2179" t="inlineStr">
        <is>
          <t>2025-07-22 11:36:01.219 IST</t>
        </is>
      </c>
      <c r="M2179" t="inlineStr">
        <is>
          <t>Soundariya B</t>
        </is>
      </c>
      <c r="N2179" t="inlineStr">
        <is>
          <t>Yes</t>
        </is>
      </c>
      <c r="O2179" t="inlineStr">
        <is>
          <t>Yes</t>
        </is>
      </c>
      <c r="P2179" t="inlineStr">
        <is>
          <t>Soundariya B</t>
        </is>
      </c>
      <c r="Q2179" t="inlineStr">
        <is>
          <t>Bad</t>
        </is>
      </c>
    </row>
    <row r="2180">
      <c r="A2180" t="inlineStr">
        <is>
          <t>dhruv.p</t>
        </is>
      </c>
      <c r="B2180" t="inlineStr">
        <is>
          <t>Dhruv Pahadia</t>
        </is>
      </c>
      <c r="C2180" t="inlineStr">
        <is>
          <t>dhruv.p@osmosys.co</t>
        </is>
      </c>
      <c r="D2180" t="inlineStr">
        <is>
          <t>incident-reporter</t>
        </is>
      </c>
      <c r="E2180">
        <f>HYPERLINK("http://gitlab.osmosys.co/incident-reporter/incident-reporter-angular-portal", "OQSHA Portal")</f>
        <v/>
      </c>
      <c r="F2180">
        <f>HYPERLINK("http://gitlab.osmosys.co/incident-reporter/incident-reporter-angular-portal/-/merge_requests/3526", "feat: implement moc clarification")</f>
        <v/>
      </c>
      <c r="G2180" t="inlineStr">
        <is>
          <t>feat/moc-clarification</t>
        </is>
      </c>
      <c r="H2180" t="inlineStr">
        <is>
          <t>sprint-17</t>
        </is>
      </c>
      <c r="I2180" t="inlineStr">
        <is>
          <t>merged</t>
        </is>
      </c>
      <c r="J2180" t="inlineStr">
        <is>
          <t>12a5157421533465459bdfc561451234b8203db0</t>
        </is>
      </c>
      <c r="K2180">
        <f>HYPERLINK("http://gitlab.osmosys.co/incident-reporter/incident-reporter-angular-portal/-/merge_requests/3526#note_239631", "It should be convertedDateTime")</f>
        <v/>
      </c>
      <c r="L2180" t="inlineStr">
        <is>
          <t>2025-07-22 00:36:05.119 IST</t>
        </is>
      </c>
      <c r="M2180" t="inlineStr">
        <is>
          <t>Soundariya B</t>
        </is>
      </c>
      <c r="N2180" t="inlineStr">
        <is>
          <t>Yes</t>
        </is>
      </c>
      <c r="O2180" t="inlineStr">
        <is>
          <t>Yes</t>
        </is>
      </c>
      <c r="P2180" t="inlineStr">
        <is>
          <t>Soundariya B</t>
        </is>
      </c>
      <c r="Q2180" t="inlineStr">
        <is>
          <t>Bad</t>
        </is>
      </c>
    </row>
    <row r="2181">
      <c r="A2181" t="inlineStr">
        <is>
          <t>dhruv.p</t>
        </is>
      </c>
      <c r="B2181" t="inlineStr">
        <is>
          <t>Dhruv Pahadia</t>
        </is>
      </c>
      <c r="C2181" t="inlineStr">
        <is>
          <t>dhruv.p@osmosys.co</t>
        </is>
      </c>
      <c r="D2181" t="inlineStr">
        <is>
          <t>incident-reporter</t>
        </is>
      </c>
      <c r="E2181">
        <f>HYPERLINK("http://gitlab.osmosys.co/incident-reporter/incident-reporter-angular-portal", "OQSHA Portal")</f>
        <v/>
      </c>
      <c r="F2181">
        <f>HYPERLINK("http://gitlab.osmosys.co/incident-reporter/incident-reporter-angular-portal/-/merge_requests/3526", "feat: implement moc clarification")</f>
        <v/>
      </c>
      <c r="G2181" t="inlineStr">
        <is>
          <t>feat/moc-clarification</t>
        </is>
      </c>
      <c r="H2181" t="inlineStr">
        <is>
          <t>sprint-17</t>
        </is>
      </c>
      <c r="I2181" t="inlineStr">
        <is>
          <t>merged</t>
        </is>
      </c>
      <c r="J2181" t="inlineStr">
        <is>
          <t>12a5157421533465459bdfc561451234b8203db0</t>
        </is>
      </c>
      <c r="K2181">
        <f>HYPERLINK("http://gitlab.osmosys.co/incident-reporter/incident-reporter-angular-portal/-/merge_requests/3526#note_239817", "fixed")</f>
        <v/>
      </c>
      <c r="L2181" t="inlineStr">
        <is>
          <t>2025-07-22 10:57:44.638 IST</t>
        </is>
      </c>
      <c r="M2181" t="inlineStr">
        <is>
          <t>Dhruv Pahadia</t>
        </is>
      </c>
      <c r="N2181" t="inlineStr">
        <is>
          <t>No</t>
        </is>
      </c>
      <c r="O2181" t="inlineStr">
        <is>
          <t>Yes</t>
        </is>
      </c>
      <c r="P2181" t="inlineStr">
        <is>
          <t>Soundariya B</t>
        </is>
      </c>
      <c r="Q2181" t="inlineStr">
        <is>
          <t>Bad</t>
        </is>
      </c>
    </row>
    <row r="2182">
      <c r="A2182" t="inlineStr">
        <is>
          <t>dhruv.p</t>
        </is>
      </c>
      <c r="B2182" t="inlineStr">
        <is>
          <t>Dhruv Pahadia</t>
        </is>
      </c>
      <c r="C2182" t="inlineStr">
        <is>
          <t>dhruv.p@osmosys.co</t>
        </is>
      </c>
      <c r="D2182" t="inlineStr">
        <is>
          <t>incident-reporter</t>
        </is>
      </c>
      <c r="E2182">
        <f>HYPERLINK("http://gitlab.osmosys.co/incident-reporter/incident-reporter-angular-portal", "OQSHA Portal")</f>
        <v/>
      </c>
      <c r="F2182">
        <f>HYPERLINK("http://gitlab.osmosys.co/incident-reporter/incident-reporter-angular-portal/-/merge_requests/3526", "feat: implement moc clarification")</f>
        <v/>
      </c>
      <c r="G2182" t="inlineStr">
        <is>
          <t>feat/moc-clarification</t>
        </is>
      </c>
      <c r="H2182" t="inlineStr">
        <is>
          <t>sprint-17</t>
        </is>
      </c>
      <c r="I2182" t="inlineStr">
        <is>
          <t>merged</t>
        </is>
      </c>
      <c r="J2182" t="inlineStr">
        <is>
          <t>12a5157421533465459bdfc561451234b8203db0</t>
        </is>
      </c>
      <c r="K2182">
        <f>HYPERLINK("http://gitlab.osmosys.co/incident-reporter/incident-reporter-angular-portal/-/merge_requests/3526#note_239915", "Not yet fixed")</f>
        <v/>
      </c>
      <c r="L2182" t="inlineStr">
        <is>
          <t>2025-07-22 11:36:06.261 IST</t>
        </is>
      </c>
      <c r="M2182" t="inlineStr">
        <is>
          <t>Soundariya B</t>
        </is>
      </c>
      <c r="N2182" t="inlineStr">
        <is>
          <t>Yes</t>
        </is>
      </c>
      <c r="O2182" t="inlineStr">
        <is>
          <t>Yes</t>
        </is>
      </c>
      <c r="P2182" t="inlineStr">
        <is>
          <t>Soundariya B</t>
        </is>
      </c>
      <c r="Q2182" t="inlineStr">
        <is>
          <t>Bad</t>
        </is>
      </c>
    </row>
    <row r="2183">
      <c r="A2183" t="inlineStr">
        <is>
          <t>dhruv.p</t>
        </is>
      </c>
      <c r="B2183" t="inlineStr">
        <is>
          <t>Dhruv Pahadia</t>
        </is>
      </c>
      <c r="C2183" t="inlineStr">
        <is>
          <t>dhruv.p@osmosys.co</t>
        </is>
      </c>
      <c r="D2183" t="inlineStr">
        <is>
          <t>incident-reporter</t>
        </is>
      </c>
      <c r="E2183">
        <f>HYPERLINK("http://gitlab.osmosys.co/incident-reporter/incident-reporter-angular-portal", "OQSHA Portal")</f>
        <v/>
      </c>
      <c r="F2183">
        <f>HYPERLINK("http://gitlab.osmosys.co/incident-reporter/incident-reporter-angular-portal/-/merge_requests/3526", "feat: implement moc clarification")</f>
        <v/>
      </c>
      <c r="G2183" t="inlineStr">
        <is>
          <t>feat/moc-clarification</t>
        </is>
      </c>
      <c r="H2183" t="inlineStr">
        <is>
          <t>sprint-17</t>
        </is>
      </c>
      <c r="I2183" t="inlineStr">
        <is>
          <t>merged</t>
        </is>
      </c>
      <c r="J2183" t="inlineStr">
        <is>
          <t>20b29f6f4d1628836aa6a4c0b19c86f1b11208b8</t>
        </is>
      </c>
      <c r="K2183">
        <f>HYPERLINK("http://gitlab.osmosys.co/incident-reporter/incident-reporter-angular-portal/-/merge_requests/3526#note_239632", "Labels should take from moc label object instead of PPE issue label object -- Fix it everywhere")</f>
        <v/>
      </c>
      <c r="L2183" t="inlineStr">
        <is>
          <t>2025-07-22 00:36:05.215 IST</t>
        </is>
      </c>
      <c r="M2183" t="inlineStr">
        <is>
          <t>Soundariya B</t>
        </is>
      </c>
      <c r="N2183" t="inlineStr">
        <is>
          <t>Yes</t>
        </is>
      </c>
      <c r="O2183" t="inlineStr">
        <is>
          <t>Yes</t>
        </is>
      </c>
      <c r="P2183" t="inlineStr">
        <is>
          <t>Soundariya B</t>
        </is>
      </c>
      <c r="Q2183" t="inlineStr">
        <is>
          <t>Bad</t>
        </is>
      </c>
    </row>
    <row r="2184">
      <c r="A2184" t="inlineStr">
        <is>
          <t>dhruv.p</t>
        </is>
      </c>
      <c r="B2184" t="inlineStr">
        <is>
          <t>Dhruv Pahadia</t>
        </is>
      </c>
      <c r="C2184" t="inlineStr">
        <is>
          <t>dhruv.p@osmosys.co</t>
        </is>
      </c>
      <c r="D2184" t="inlineStr">
        <is>
          <t>incident-reporter</t>
        </is>
      </c>
      <c r="E2184">
        <f>HYPERLINK("http://gitlab.osmosys.co/incident-reporter/incident-reporter-angular-portal", "OQSHA Portal")</f>
        <v/>
      </c>
      <c r="F2184">
        <f>HYPERLINK("http://gitlab.osmosys.co/incident-reporter/incident-reporter-angular-portal/-/merge_requests/3526", "feat: implement moc clarification")</f>
        <v/>
      </c>
      <c r="G2184" t="inlineStr">
        <is>
          <t>feat/moc-clarification</t>
        </is>
      </c>
      <c r="H2184" t="inlineStr">
        <is>
          <t>sprint-17</t>
        </is>
      </c>
      <c r="I2184" t="inlineStr">
        <is>
          <t>merged</t>
        </is>
      </c>
      <c r="J2184" t="inlineStr">
        <is>
          <t>20b29f6f4d1628836aa6a4c0b19c86f1b11208b8</t>
        </is>
      </c>
      <c r="K2184">
        <f>HYPERLINK("http://gitlab.osmosys.co/incident-reporter/incident-reporter-angular-portal/-/merge_requests/3526#note_239831", "Fixed")</f>
        <v/>
      </c>
      <c r="L2184" t="inlineStr">
        <is>
          <t>2025-07-22 11:01:03.025 IST</t>
        </is>
      </c>
      <c r="M2184" t="inlineStr">
        <is>
          <t>Dhruv Pahadia</t>
        </is>
      </c>
      <c r="N2184" t="inlineStr">
        <is>
          <t>No</t>
        </is>
      </c>
      <c r="O2184" t="inlineStr">
        <is>
          <t>Yes</t>
        </is>
      </c>
      <c r="P2184" t="inlineStr">
        <is>
          <t>Soundariya B</t>
        </is>
      </c>
      <c r="Q2184" t="inlineStr">
        <is>
          <t>Bad</t>
        </is>
      </c>
    </row>
    <row r="2185">
      <c r="A2185" t="inlineStr">
        <is>
          <t>dhruv.p</t>
        </is>
      </c>
      <c r="B2185" t="inlineStr">
        <is>
          <t>Dhruv Pahadia</t>
        </is>
      </c>
      <c r="C2185" t="inlineStr">
        <is>
          <t>dhruv.p@osmosys.co</t>
        </is>
      </c>
      <c r="D2185" t="inlineStr">
        <is>
          <t>incident-reporter</t>
        </is>
      </c>
      <c r="E2185">
        <f>HYPERLINK("http://gitlab.osmosys.co/incident-reporter/incident-reporter-angular-portal", "OQSHA Portal")</f>
        <v/>
      </c>
      <c r="F2185">
        <f>HYPERLINK("http://gitlab.osmosys.co/incident-reporter/incident-reporter-angular-portal/-/merge_requests/3526", "feat: implement moc clarification")</f>
        <v/>
      </c>
      <c r="G2185" t="inlineStr">
        <is>
          <t>feat/moc-clarification</t>
        </is>
      </c>
      <c r="H2185" t="inlineStr">
        <is>
          <t>sprint-17</t>
        </is>
      </c>
      <c r="I2185" t="inlineStr">
        <is>
          <t>merged</t>
        </is>
      </c>
      <c r="J2185" t="inlineStr">
        <is>
          <t>20b29f6f4d1628836aa6a4c0b19c86f1b11208b8</t>
        </is>
      </c>
      <c r="K2185">
        <f>HYPERLINK("http://gitlab.osmosys.co/incident-reporter/incident-reporter-angular-portal/-/merge_requests/3526#note_239916", "Not yet fixed")</f>
        <v/>
      </c>
      <c r="L2185" t="inlineStr">
        <is>
          <t>2025-07-22 11:36:12.870 IST</t>
        </is>
      </c>
      <c r="M2185" t="inlineStr">
        <is>
          <t>Soundariya B</t>
        </is>
      </c>
      <c r="N2185" t="inlineStr">
        <is>
          <t>Yes</t>
        </is>
      </c>
      <c r="O2185" t="inlineStr">
        <is>
          <t>Yes</t>
        </is>
      </c>
      <c r="P2185" t="inlineStr">
        <is>
          <t>Soundariya B</t>
        </is>
      </c>
      <c r="Q2185" t="inlineStr">
        <is>
          <t>Bad</t>
        </is>
      </c>
    </row>
    <row r="2186">
      <c r="A2186" t="inlineStr">
        <is>
          <t>dhruv.p</t>
        </is>
      </c>
      <c r="B2186" t="inlineStr">
        <is>
          <t>Dhruv Pahadia</t>
        </is>
      </c>
      <c r="C2186" t="inlineStr">
        <is>
          <t>dhruv.p@osmosys.co</t>
        </is>
      </c>
      <c r="D2186" t="inlineStr">
        <is>
          <t>incident-reporter</t>
        </is>
      </c>
      <c r="E2186">
        <f>HYPERLINK("http://gitlab.osmosys.co/incident-reporter/incident-reporter-angular-portal", "OQSHA Portal")</f>
        <v/>
      </c>
      <c r="F2186">
        <f>HYPERLINK("http://gitlab.osmosys.co/incident-reporter/incident-reporter-angular-portal/-/merge_requests/3526", "feat: implement moc clarification")</f>
        <v/>
      </c>
      <c r="G2186" t="inlineStr">
        <is>
          <t>feat/moc-clarification</t>
        </is>
      </c>
      <c r="H2186" t="inlineStr">
        <is>
          <t>sprint-17</t>
        </is>
      </c>
      <c r="I2186" t="inlineStr">
        <is>
          <t>merged</t>
        </is>
      </c>
      <c r="J2186" t="inlineStr">
        <is>
          <t>c69c05eda89e2aa1521cbf9f8f8fa44a27ba35d8</t>
        </is>
      </c>
      <c r="K2186">
        <f>HYPERLINK("http://gitlab.osmosys.co/incident-reporter/incident-reporter-angular-portal/-/merge_requests/3526#note_239633", "As button is for edit pencil icon so function name should be editClarificationRow(item)")</f>
        <v/>
      </c>
      <c r="L2186" t="inlineStr">
        <is>
          <t>2025-07-22 00:36:05.266 IST</t>
        </is>
      </c>
      <c r="M2186" t="inlineStr">
        <is>
          <t>Soundariya B</t>
        </is>
      </c>
      <c r="N2186" t="inlineStr">
        <is>
          <t>Yes</t>
        </is>
      </c>
      <c r="O2186" t="inlineStr">
        <is>
          <t>Yes</t>
        </is>
      </c>
      <c r="P2186" t="inlineStr">
        <is>
          <t>Soundariya B</t>
        </is>
      </c>
      <c r="Q2186" t="inlineStr">
        <is>
          <t>Neutral</t>
        </is>
      </c>
    </row>
    <row r="2187">
      <c r="A2187" t="inlineStr">
        <is>
          <t>dhruv.p</t>
        </is>
      </c>
      <c r="B2187" t="inlineStr">
        <is>
          <t>Dhruv Pahadia</t>
        </is>
      </c>
      <c r="C2187" t="inlineStr">
        <is>
          <t>dhruv.p@osmosys.co</t>
        </is>
      </c>
      <c r="D2187" t="inlineStr">
        <is>
          <t>incident-reporter</t>
        </is>
      </c>
      <c r="E2187">
        <f>HYPERLINK("http://gitlab.osmosys.co/incident-reporter/incident-reporter-angular-portal", "OQSHA Portal")</f>
        <v/>
      </c>
      <c r="F2187">
        <f>HYPERLINK("http://gitlab.osmosys.co/incident-reporter/incident-reporter-angular-portal/-/merge_requests/3526", "feat: implement moc clarification")</f>
        <v/>
      </c>
      <c r="G2187" t="inlineStr">
        <is>
          <t>feat/moc-clarification</t>
        </is>
      </c>
      <c r="H2187" t="inlineStr">
        <is>
          <t>sprint-17</t>
        </is>
      </c>
      <c r="I2187" t="inlineStr">
        <is>
          <t>merged</t>
        </is>
      </c>
      <c r="J2187" t="inlineStr">
        <is>
          <t>c69c05eda89e2aa1521cbf9f8f8fa44a27ba35d8</t>
        </is>
      </c>
      <c r="K2187">
        <f>HYPERLINK("http://gitlab.osmosys.co/incident-reporter/incident-reporter-angular-portal/-/merge_requests/3526#note_239818", "the functionality itself is named "Answer" because its answering the Clarification(question) asked by the approver")</f>
        <v/>
      </c>
      <c r="L2187" t="inlineStr">
        <is>
          <t>2025-07-22 10:58:36.884 IST</t>
        </is>
      </c>
      <c r="M2187" t="inlineStr">
        <is>
          <t>Dhruv Pahadia</t>
        </is>
      </c>
      <c r="N2187" t="inlineStr">
        <is>
          <t>No</t>
        </is>
      </c>
      <c r="O2187" t="inlineStr">
        <is>
          <t>Yes</t>
        </is>
      </c>
      <c r="P2187" t="inlineStr">
        <is>
          <t>Soundariya B</t>
        </is>
      </c>
      <c r="Q2187" t="inlineStr">
        <is>
          <t>Neutral</t>
        </is>
      </c>
    </row>
    <row r="2188">
      <c r="A2188" t="inlineStr">
        <is>
          <t>dhruv.p</t>
        </is>
      </c>
      <c r="B2188" t="inlineStr">
        <is>
          <t>Dhruv Pahadia</t>
        </is>
      </c>
      <c r="C2188" t="inlineStr">
        <is>
          <t>dhruv.p@osmosys.co</t>
        </is>
      </c>
      <c r="D2188" t="inlineStr">
        <is>
          <t>incident-reporter</t>
        </is>
      </c>
      <c r="E2188">
        <f>HYPERLINK("http://gitlab.osmosys.co/incident-reporter/incident-reporter-angular-portal", "OQSHA Portal")</f>
        <v/>
      </c>
      <c r="F2188">
        <f>HYPERLINK("http://gitlab.osmosys.co/incident-reporter/incident-reporter-angular-portal/-/merge_requests/3526", "feat: implement moc clarification")</f>
        <v/>
      </c>
      <c r="G2188" t="inlineStr">
        <is>
          <t>feat/moc-clarification</t>
        </is>
      </c>
      <c r="H2188" t="inlineStr">
        <is>
          <t>sprint-17</t>
        </is>
      </c>
      <c r="I2188" t="inlineStr">
        <is>
          <t>merged</t>
        </is>
      </c>
      <c r="J2188" t="inlineStr">
        <is>
          <t>1a1f1dd31af8badff2967f617b38a29fbd07f76c</t>
        </is>
      </c>
      <c r="K2188">
        <f>HYPERLINK("http://gitlab.osmosys.co/incident-reporter/incident-reporter-angular-portal/-/merge_requests/3526#note_239634", "These must be there in global css file please take from there")</f>
        <v/>
      </c>
      <c r="L2188" t="inlineStr">
        <is>
          <t>2025-07-22 00:36:05.347 IST</t>
        </is>
      </c>
      <c r="M2188" t="inlineStr">
        <is>
          <t>Soundariya B</t>
        </is>
      </c>
      <c r="N2188" t="inlineStr">
        <is>
          <t>Yes</t>
        </is>
      </c>
      <c r="O2188" t="inlineStr">
        <is>
          <t>Yes</t>
        </is>
      </c>
      <c r="P2188" t="inlineStr">
        <is>
          <t>Soundariya B</t>
        </is>
      </c>
      <c r="Q2188" t="inlineStr">
        <is>
          <t>Good</t>
        </is>
      </c>
    </row>
    <row r="2189">
      <c r="A2189" t="inlineStr">
        <is>
          <t>dhruv.p</t>
        </is>
      </c>
      <c r="B2189" t="inlineStr">
        <is>
          <t>Dhruv Pahadia</t>
        </is>
      </c>
      <c r="C2189" t="inlineStr">
        <is>
          <t>dhruv.p@osmosys.co</t>
        </is>
      </c>
      <c r="D2189" t="inlineStr">
        <is>
          <t>incident-reporter</t>
        </is>
      </c>
      <c r="E2189">
        <f>HYPERLINK("http://gitlab.osmosys.co/incident-reporter/incident-reporter-angular-portal", "OQSHA Portal")</f>
        <v/>
      </c>
      <c r="F2189">
        <f>HYPERLINK("http://gitlab.osmosys.co/incident-reporter/incident-reporter-angular-portal/-/merge_requests/3526", "feat: implement moc clarification")</f>
        <v/>
      </c>
      <c r="G2189" t="inlineStr">
        <is>
          <t>feat/moc-clarification</t>
        </is>
      </c>
      <c r="H2189" t="inlineStr">
        <is>
          <t>sprint-17</t>
        </is>
      </c>
      <c r="I2189" t="inlineStr">
        <is>
          <t>merged</t>
        </is>
      </c>
      <c r="J2189" t="inlineStr">
        <is>
          <t>1a1f1dd31af8badff2967f617b38a29fbd07f76c</t>
        </is>
      </c>
      <c r="K2189">
        <f>HYPERLINK("http://gitlab.osmosys.co/incident-reporter/incident-reporter-angular-portal/-/merge_requests/3526#note_239832", "Its not, global scss only has w-30, w-22, w-78")</f>
        <v/>
      </c>
      <c r="L2189" t="inlineStr">
        <is>
          <t>2025-07-22 11:02:01.605 IST</t>
        </is>
      </c>
      <c r="M2189" t="inlineStr">
        <is>
          <t>Dhruv Pahadia</t>
        </is>
      </c>
      <c r="N2189" t="inlineStr">
        <is>
          <t>No</t>
        </is>
      </c>
      <c r="O2189" t="inlineStr">
        <is>
          <t>Yes</t>
        </is>
      </c>
      <c r="P2189" t="inlineStr">
        <is>
          <t>Soundariya B</t>
        </is>
      </c>
      <c r="Q2189" t="inlineStr">
        <is>
          <t>Good</t>
        </is>
      </c>
    </row>
    <row r="2190">
      <c r="A2190" t="inlineStr">
        <is>
          <t>dhruv.p</t>
        </is>
      </c>
      <c r="B2190" t="inlineStr">
        <is>
          <t>Dhruv Pahadia</t>
        </is>
      </c>
      <c r="C2190" t="inlineStr">
        <is>
          <t>dhruv.p@osmosys.co</t>
        </is>
      </c>
      <c r="D2190" t="inlineStr">
        <is>
          <t>incident-reporter</t>
        </is>
      </c>
      <c r="E2190">
        <f>HYPERLINK("http://gitlab.osmosys.co/incident-reporter/incident-reporter-angular-portal", "OQSHA Portal")</f>
        <v/>
      </c>
      <c r="F2190">
        <f>HYPERLINK("http://gitlab.osmosys.co/incident-reporter/incident-reporter-angular-portal/-/merge_requests/3526", "feat: implement moc clarification")</f>
        <v/>
      </c>
      <c r="G2190" t="inlineStr">
        <is>
          <t>feat/moc-clarification</t>
        </is>
      </c>
      <c r="H2190" t="inlineStr">
        <is>
          <t>sprint-17</t>
        </is>
      </c>
      <c r="I2190" t="inlineStr">
        <is>
          <t>merged</t>
        </is>
      </c>
      <c r="J2190" t="inlineStr">
        <is>
          <t>1a1f1dd31af8badff2967f617b38a29fbd07f76c</t>
        </is>
      </c>
      <c r="K2190">
        <f>HYPERLINK("http://gitlab.osmosys.co/incident-reporter/incident-reporter-angular-portal/-/merge_requests/3526#note_239908", "Then add it and use it")</f>
        <v/>
      </c>
      <c r="L2190" t="inlineStr">
        <is>
          <t>2025-07-22 11:32:52.388 IST</t>
        </is>
      </c>
      <c r="M2190" t="inlineStr">
        <is>
          <t>Soundariya B</t>
        </is>
      </c>
      <c r="N2190" t="inlineStr">
        <is>
          <t>Yes</t>
        </is>
      </c>
      <c r="O2190" t="inlineStr">
        <is>
          <t>Yes</t>
        </is>
      </c>
      <c r="P2190" t="inlineStr">
        <is>
          <t>Soundariya B</t>
        </is>
      </c>
      <c r="Q2190" t="inlineStr">
        <is>
          <t>Good</t>
        </is>
      </c>
    </row>
    <row r="2191">
      <c r="A2191" t="inlineStr">
        <is>
          <t>dhruv.p</t>
        </is>
      </c>
      <c r="B2191" t="inlineStr">
        <is>
          <t>Dhruv Pahadia</t>
        </is>
      </c>
      <c r="C2191" t="inlineStr">
        <is>
          <t>dhruv.p@osmosys.co</t>
        </is>
      </c>
      <c r="D2191" t="inlineStr">
        <is>
          <t>incident-reporter</t>
        </is>
      </c>
      <c r="E2191">
        <f>HYPERLINK("http://gitlab.osmosys.co/incident-reporter/incident-reporter-angular-portal", "OQSHA Portal")</f>
        <v/>
      </c>
      <c r="F2191">
        <f>HYPERLINK("http://gitlab.osmosys.co/incident-reporter/incident-reporter-angular-portal/-/merge_requests/3526", "feat: implement moc clarification")</f>
        <v/>
      </c>
      <c r="G2191" t="inlineStr">
        <is>
          <t>feat/moc-clarification</t>
        </is>
      </c>
      <c r="H2191" t="inlineStr">
        <is>
          <t>sprint-17</t>
        </is>
      </c>
      <c r="I2191" t="inlineStr">
        <is>
          <t>merged</t>
        </is>
      </c>
      <c r="J2191" t="inlineStr">
        <is>
          <t>1a1f1dd31af8badff2967f617b38a29fbd07f76c</t>
        </is>
      </c>
      <c r="K2191">
        <f>HYPERLINK("http://gitlab.osmosys.co/incident-reporter/incident-reporter-angular-portal/-/merge_requests/3526#note_239994", "Done")</f>
        <v/>
      </c>
      <c r="L2191" t="inlineStr">
        <is>
          <t>2025-07-22 12:12:22.315 IST</t>
        </is>
      </c>
      <c r="M2191" t="inlineStr">
        <is>
          <t>Dhruv Pahadia</t>
        </is>
      </c>
      <c r="N2191" t="inlineStr">
        <is>
          <t>No</t>
        </is>
      </c>
      <c r="O2191" t="inlineStr">
        <is>
          <t>Yes</t>
        </is>
      </c>
      <c r="P2191" t="inlineStr">
        <is>
          <t>Soundariya B</t>
        </is>
      </c>
      <c r="Q2191" t="inlineStr">
        <is>
          <t>Good</t>
        </is>
      </c>
    </row>
    <row r="2192">
      <c r="A2192" t="inlineStr">
        <is>
          <t>dhruv.p</t>
        </is>
      </c>
      <c r="B2192" t="inlineStr">
        <is>
          <t>Dhruv Pahadia</t>
        </is>
      </c>
      <c r="C2192" t="inlineStr">
        <is>
          <t>dhruv.p@osmosys.co</t>
        </is>
      </c>
      <c r="D2192" t="inlineStr">
        <is>
          <t>incident-reporter</t>
        </is>
      </c>
      <c r="E2192">
        <f>HYPERLINK("http://gitlab.osmosys.co/incident-reporter/incident-reporter-angular-portal", "OQSHA Portal")</f>
        <v/>
      </c>
      <c r="F2192">
        <f>HYPERLINK("http://gitlab.osmosys.co/incident-reporter/incident-reporter-angular-portal/-/merge_requests/3526", "feat: implement moc clarification")</f>
        <v/>
      </c>
      <c r="G2192" t="inlineStr">
        <is>
          <t>feat/moc-clarification</t>
        </is>
      </c>
      <c r="H2192" t="inlineStr">
        <is>
          <t>sprint-17</t>
        </is>
      </c>
      <c r="I2192" t="inlineStr">
        <is>
          <t>merged</t>
        </is>
      </c>
      <c r="J2192" t="inlineStr">
        <is>
          <t>fb7a5b138ebfe5a361b7024eaff89b130b9ebeeb</t>
        </is>
      </c>
      <c r="K2192">
        <f>HYPERLINK("http://gitlab.osmosys.co/incident-reporter/incident-reporter-angular-portal/-/merge_requests/3526#note_239635", "Rename the service function name - sendClarificationData")</f>
        <v/>
      </c>
      <c r="L2192" t="inlineStr">
        <is>
          <t>2025-07-22 00:36:05.433 IST</t>
        </is>
      </c>
      <c r="M2192" t="inlineStr">
        <is>
          <t>Soundariya B</t>
        </is>
      </c>
      <c r="N2192" t="inlineStr">
        <is>
          <t>Yes</t>
        </is>
      </c>
      <c r="O2192" t="inlineStr">
        <is>
          <t>Yes</t>
        </is>
      </c>
      <c r="P2192" t="inlineStr">
        <is>
          <t>Soundariya B</t>
        </is>
      </c>
      <c r="Q2192" t="inlineStr">
        <is>
          <t>Neutral</t>
        </is>
      </c>
    </row>
    <row r="2193">
      <c r="A2193" t="inlineStr">
        <is>
          <t>dhruv.p</t>
        </is>
      </c>
      <c r="B2193" t="inlineStr">
        <is>
          <t>Dhruv Pahadia</t>
        </is>
      </c>
      <c r="C2193" t="inlineStr">
        <is>
          <t>dhruv.p@osmosys.co</t>
        </is>
      </c>
      <c r="D2193" t="inlineStr">
        <is>
          <t>incident-reporter</t>
        </is>
      </c>
      <c r="E2193">
        <f>HYPERLINK("http://gitlab.osmosys.co/incident-reporter/incident-reporter-angular-portal", "OQSHA Portal")</f>
        <v/>
      </c>
      <c r="F2193">
        <f>HYPERLINK("http://gitlab.osmosys.co/incident-reporter/incident-reporter-angular-portal/-/merge_requests/3526", "feat: implement moc clarification")</f>
        <v/>
      </c>
      <c r="G2193" t="inlineStr">
        <is>
          <t>feat/moc-clarification</t>
        </is>
      </c>
      <c r="H2193" t="inlineStr">
        <is>
          <t>sprint-17</t>
        </is>
      </c>
      <c r="I2193" t="inlineStr">
        <is>
          <t>merged</t>
        </is>
      </c>
      <c r="J2193" t="inlineStr">
        <is>
          <t>fb7a5b138ebfe5a361b7024eaff89b130b9ebeeb</t>
        </is>
      </c>
      <c r="K2193">
        <f>HYPERLINK("http://gitlab.osmosys.co/incident-reporter/incident-reporter-angular-portal/-/merge_requests/3526#note_239836", "the functionality is actually reusing an already existing api, which is also used for posting comment. So I am reusing an already built service function")</f>
        <v/>
      </c>
      <c r="L2193" t="inlineStr">
        <is>
          <t>2025-07-22 11:03:06.531 IST</t>
        </is>
      </c>
      <c r="M2193" t="inlineStr">
        <is>
          <t>Dhruv Pahadia</t>
        </is>
      </c>
      <c r="N2193" t="inlineStr">
        <is>
          <t>No</t>
        </is>
      </c>
      <c r="O2193" t="inlineStr">
        <is>
          <t>Yes</t>
        </is>
      </c>
      <c r="P2193" t="inlineStr">
        <is>
          <t>Soundariya B</t>
        </is>
      </c>
      <c r="Q2193" t="inlineStr">
        <is>
          <t>Neutral</t>
        </is>
      </c>
    </row>
    <row r="2194">
      <c r="A2194" t="inlineStr">
        <is>
          <t>dhruv.p</t>
        </is>
      </c>
      <c r="B2194" t="inlineStr">
        <is>
          <t>Dhruv Pahadia</t>
        </is>
      </c>
      <c r="C2194" t="inlineStr">
        <is>
          <t>dhruv.p@osmosys.co</t>
        </is>
      </c>
      <c r="D2194" t="inlineStr">
        <is>
          <t>incident-reporter</t>
        </is>
      </c>
      <c r="E2194">
        <f>HYPERLINK("http://gitlab.osmosys.co/incident-reporter/incident-reporter-angular-portal", "OQSHA Portal")</f>
        <v/>
      </c>
      <c r="F2194">
        <f>HYPERLINK("http://gitlab.osmosys.co/incident-reporter/incident-reporter-angular-portal/-/merge_requests/3526", "feat: implement moc clarification")</f>
        <v/>
      </c>
      <c r="G2194" t="inlineStr">
        <is>
          <t>feat/moc-clarification</t>
        </is>
      </c>
      <c r="H2194" t="inlineStr">
        <is>
          <t>sprint-17</t>
        </is>
      </c>
      <c r="I2194" t="inlineStr">
        <is>
          <t>merged</t>
        </is>
      </c>
      <c r="J2194" t="inlineStr">
        <is>
          <t>7742e61c04897ad37bc5c900b95b64e8f470b934</t>
        </is>
      </c>
      <c r="K2194">
        <f>HYPERLINK("http://gitlab.osmosys.co/incident-reporter/incident-reporter-angular-portal/-/merge_requests/3526#note_239636", "Take it from constant file")</f>
        <v/>
      </c>
      <c r="L2194" t="inlineStr">
        <is>
          <t>2025-07-22 00:36:05.488 IST</t>
        </is>
      </c>
      <c r="M2194" t="inlineStr">
        <is>
          <t>Soundariya B</t>
        </is>
      </c>
      <c r="N2194" t="inlineStr">
        <is>
          <t>Yes</t>
        </is>
      </c>
      <c r="O2194" t="inlineStr">
        <is>
          <t>Yes</t>
        </is>
      </c>
      <c r="P2194" t="inlineStr">
        <is>
          <t>Soundariya B</t>
        </is>
      </c>
      <c r="Q2194" t="inlineStr">
        <is>
          <t>Bad</t>
        </is>
      </c>
    </row>
    <row r="2195">
      <c r="A2195" t="inlineStr">
        <is>
          <t>dhruv.p</t>
        </is>
      </c>
      <c r="B2195" t="inlineStr">
        <is>
          <t>Dhruv Pahadia</t>
        </is>
      </c>
      <c r="C2195" t="inlineStr">
        <is>
          <t>dhruv.p@osmosys.co</t>
        </is>
      </c>
      <c r="D2195" t="inlineStr">
        <is>
          <t>incident-reporter</t>
        </is>
      </c>
      <c r="E2195">
        <f>HYPERLINK("http://gitlab.osmosys.co/incident-reporter/incident-reporter-angular-portal", "OQSHA Portal")</f>
        <v/>
      </c>
      <c r="F2195">
        <f>HYPERLINK("http://gitlab.osmosys.co/incident-reporter/incident-reporter-angular-portal/-/merge_requests/3526", "feat: implement moc clarification")</f>
        <v/>
      </c>
      <c r="G2195" t="inlineStr">
        <is>
          <t>feat/moc-clarification</t>
        </is>
      </c>
      <c r="H2195" t="inlineStr">
        <is>
          <t>sprint-17</t>
        </is>
      </c>
      <c r="I2195" t="inlineStr">
        <is>
          <t>merged</t>
        </is>
      </c>
      <c r="J2195" t="inlineStr">
        <is>
          <t>7742e61c04897ad37bc5c900b95b64e8f470b934</t>
        </is>
      </c>
      <c r="K2195">
        <f>HYPERLINK("http://gitlab.osmosys.co/incident-reporter/incident-reporter-angular-portal/-/merge_requests/3526#note_239841", "Fixed")</f>
        <v/>
      </c>
      <c r="L2195" t="inlineStr">
        <is>
          <t>2025-07-22 11:07:08.367 IST</t>
        </is>
      </c>
      <c r="M2195" t="inlineStr">
        <is>
          <t>Dhruv Pahadia</t>
        </is>
      </c>
      <c r="N2195" t="inlineStr">
        <is>
          <t>No</t>
        </is>
      </c>
      <c r="O2195" t="inlineStr">
        <is>
          <t>Yes</t>
        </is>
      </c>
      <c r="P2195" t="inlineStr">
        <is>
          <t>Soundariya B</t>
        </is>
      </c>
      <c r="Q2195" t="inlineStr">
        <is>
          <t>Bad</t>
        </is>
      </c>
    </row>
    <row r="2196">
      <c r="A2196" t="inlineStr">
        <is>
          <t>dhruv.p</t>
        </is>
      </c>
      <c r="B2196" t="inlineStr">
        <is>
          <t>Dhruv Pahadia</t>
        </is>
      </c>
      <c r="C2196" t="inlineStr">
        <is>
          <t>dhruv.p@osmosys.co</t>
        </is>
      </c>
      <c r="D2196" t="inlineStr">
        <is>
          <t>incident-reporter</t>
        </is>
      </c>
      <c r="E2196">
        <f>HYPERLINK("http://gitlab.osmosys.co/incident-reporter/incident-reporter-angular-portal", "OQSHA Portal")</f>
        <v/>
      </c>
      <c r="F2196">
        <f>HYPERLINK("http://gitlab.osmosys.co/incident-reporter/incident-reporter-angular-portal/-/merge_requests/3526", "feat: implement moc clarification")</f>
        <v/>
      </c>
      <c r="G2196" t="inlineStr">
        <is>
          <t>feat/moc-clarification</t>
        </is>
      </c>
      <c r="H2196" t="inlineStr">
        <is>
          <t>sprint-17</t>
        </is>
      </c>
      <c r="I2196" t="inlineStr">
        <is>
          <t>merged</t>
        </is>
      </c>
      <c r="J2196" t="inlineStr">
        <is>
          <t>7742e61c04897ad37bc5c900b95b64e8f470b934</t>
        </is>
      </c>
      <c r="K2196">
        <f>HYPERLINK("http://gitlab.osmosys.co/incident-reporter/incident-reporter-angular-portal/-/merge_requests/3526#note_239917", "Not yet fixed")</f>
        <v/>
      </c>
      <c r="L2196" t="inlineStr">
        <is>
          <t>2025-07-22 11:36:27.812 IST</t>
        </is>
      </c>
      <c r="M2196" t="inlineStr">
        <is>
          <t>Soundariya B</t>
        </is>
      </c>
      <c r="N2196" t="inlineStr">
        <is>
          <t>Yes</t>
        </is>
      </c>
      <c r="O2196" t="inlineStr">
        <is>
          <t>Yes</t>
        </is>
      </c>
      <c r="P2196" t="inlineStr">
        <is>
          <t>Soundariya B</t>
        </is>
      </c>
      <c r="Q2196" t="inlineStr">
        <is>
          <t>Bad</t>
        </is>
      </c>
    </row>
    <row r="2197">
      <c r="A2197" t="inlineStr">
        <is>
          <t>dhruv.p</t>
        </is>
      </c>
      <c r="B2197" t="inlineStr">
        <is>
          <t>Dhruv Pahadia</t>
        </is>
      </c>
      <c r="C2197" t="inlineStr">
        <is>
          <t>dhruv.p@osmosys.co</t>
        </is>
      </c>
      <c r="D2197" t="inlineStr">
        <is>
          <t>incident-reporter</t>
        </is>
      </c>
      <c r="E2197">
        <f>HYPERLINK("http://gitlab.osmosys.co/incident-reporter/incident-reporter-angular-portal", "OQSHA Portal")</f>
        <v/>
      </c>
      <c r="F2197">
        <f>HYPERLINK("http://gitlab.osmosys.co/incident-reporter/incident-reporter-angular-portal/-/merge_requests/3526", "feat: implement moc clarification")</f>
        <v/>
      </c>
      <c r="G2197" t="inlineStr">
        <is>
          <t>feat/moc-clarification</t>
        </is>
      </c>
      <c r="H2197" t="inlineStr">
        <is>
          <t>sprint-17</t>
        </is>
      </c>
      <c r="I2197" t="inlineStr">
        <is>
          <t>merged</t>
        </is>
      </c>
      <c r="J2197" t="inlineStr">
        <is>
          <t>7443569ac92dc736060a60ef7b23136ec2c99e5c</t>
        </is>
      </c>
      <c r="K2197">
        <f>HYPERLINK("http://gitlab.osmosys.co/incident-reporter/incident-reporter-angular-portal/-/merge_requests/3526#note_239637", "These lines of code using for data patching and storing please create a common function in this file and reuse it where is required")</f>
        <v/>
      </c>
      <c r="L2197" t="inlineStr">
        <is>
          <t>2025-07-22 00:36:05.539 IST</t>
        </is>
      </c>
      <c r="M2197" t="inlineStr">
        <is>
          <t>Soundariya B</t>
        </is>
      </c>
      <c r="N2197" t="inlineStr">
        <is>
          <t>Yes</t>
        </is>
      </c>
      <c r="O2197" t="inlineStr">
        <is>
          <t>Yes</t>
        </is>
      </c>
      <c r="P2197" t="inlineStr">
        <is>
          <t>Soundariya B</t>
        </is>
      </c>
      <c r="Q2197" t="inlineStr">
        <is>
          <t>Bad</t>
        </is>
      </c>
    </row>
    <row r="2198">
      <c r="A2198" t="inlineStr">
        <is>
          <t>dhruv.p</t>
        </is>
      </c>
      <c r="B2198" t="inlineStr">
        <is>
          <t>Dhruv Pahadia</t>
        </is>
      </c>
      <c r="C2198" t="inlineStr">
        <is>
          <t>dhruv.p@osmosys.co</t>
        </is>
      </c>
      <c r="D2198" t="inlineStr">
        <is>
          <t>incident-reporter</t>
        </is>
      </c>
      <c r="E2198">
        <f>HYPERLINK("http://gitlab.osmosys.co/incident-reporter/incident-reporter-angular-portal", "OQSHA Portal")</f>
        <v/>
      </c>
      <c r="F2198">
        <f>HYPERLINK("http://gitlab.osmosys.co/incident-reporter/incident-reporter-angular-portal/-/merge_requests/3526", "feat: implement moc clarification")</f>
        <v/>
      </c>
      <c r="G2198" t="inlineStr">
        <is>
          <t>feat/moc-clarification</t>
        </is>
      </c>
      <c r="H2198" t="inlineStr">
        <is>
          <t>sprint-17</t>
        </is>
      </c>
      <c r="I2198" t="inlineStr">
        <is>
          <t>merged</t>
        </is>
      </c>
      <c r="J2198" t="inlineStr">
        <is>
          <t>7443569ac92dc736060a60ef7b23136ec2c99e5c</t>
        </is>
      </c>
      <c r="K2198">
        <f>HYPERLINK("http://gitlab.osmosys.co/incident-reporter/incident-reporter-angular-portal/-/merge_requests/3526#note_239860", "common function should be used multiple times but here it will be used only once, so why build new function ?")</f>
        <v/>
      </c>
      <c r="L2198" t="inlineStr">
        <is>
          <t>2025-07-22 11:17:35.680 IST</t>
        </is>
      </c>
      <c r="M2198" t="inlineStr">
        <is>
          <t>Dhruv Pahadia</t>
        </is>
      </c>
      <c r="N2198" t="inlineStr">
        <is>
          <t>No</t>
        </is>
      </c>
      <c r="O2198" t="inlineStr">
        <is>
          <t>Yes</t>
        </is>
      </c>
      <c r="P2198" t="inlineStr">
        <is>
          <t>Soundariya B</t>
        </is>
      </c>
      <c r="Q2198" t="inlineStr">
        <is>
          <t>Bad</t>
        </is>
      </c>
    </row>
    <row r="2199">
      <c r="A2199" t="inlineStr">
        <is>
          <t>dhruv.p</t>
        </is>
      </c>
      <c r="B2199" t="inlineStr">
        <is>
          <t>Dhruv Pahadia</t>
        </is>
      </c>
      <c r="C2199" t="inlineStr">
        <is>
          <t>dhruv.p@osmosys.co</t>
        </is>
      </c>
      <c r="D2199" t="inlineStr">
        <is>
          <t>incident-reporter</t>
        </is>
      </c>
      <c r="E2199">
        <f>HYPERLINK("http://gitlab.osmosys.co/incident-reporter/incident-reporter-angular-portal", "OQSHA Portal")</f>
        <v/>
      </c>
      <c r="F2199">
        <f>HYPERLINK("http://gitlab.osmosys.co/incident-reporter/incident-reporter-angular-portal/-/merge_requests/3526", "feat: implement moc clarification")</f>
        <v/>
      </c>
      <c r="G2199" t="inlineStr">
        <is>
          <t>feat/moc-clarification</t>
        </is>
      </c>
      <c r="H2199" t="inlineStr">
        <is>
          <t>sprint-17</t>
        </is>
      </c>
      <c r="I2199" t="inlineStr">
        <is>
          <t>merged</t>
        </is>
      </c>
      <c r="J2199" t="inlineStr">
        <is>
          <t>7443569ac92dc736060a60ef7b23136ec2c99e5c</t>
        </is>
      </c>
      <c r="K2199">
        <f>HYPERLINK("http://gitlab.osmosys.co/incident-reporter/incident-reporter-angular-portal/-/merge_requests/3526#note_239911", "I can see these lines of code using more than 1 time please check once again")</f>
        <v/>
      </c>
      <c r="L2199" t="inlineStr">
        <is>
          <t>2025-07-22 11:34:36.009 IST</t>
        </is>
      </c>
      <c r="M2199" t="inlineStr">
        <is>
          <t>Soundariya B</t>
        </is>
      </c>
      <c r="N2199" t="inlineStr">
        <is>
          <t>Yes</t>
        </is>
      </c>
      <c r="O2199" t="inlineStr">
        <is>
          <t>Yes</t>
        </is>
      </c>
      <c r="P2199" t="inlineStr">
        <is>
          <t>Soundariya B</t>
        </is>
      </c>
      <c r="Q2199" t="inlineStr">
        <is>
          <t>Bad</t>
        </is>
      </c>
    </row>
    <row r="2200">
      <c r="A2200" t="inlineStr">
        <is>
          <t>dhruv.p</t>
        </is>
      </c>
      <c r="B2200" t="inlineStr">
        <is>
          <t>Dhruv Pahadia</t>
        </is>
      </c>
      <c r="C2200" t="inlineStr">
        <is>
          <t>dhruv.p@osmosys.co</t>
        </is>
      </c>
      <c r="D2200" t="inlineStr">
        <is>
          <t>incident-reporter</t>
        </is>
      </c>
      <c r="E2200">
        <f>HYPERLINK("http://gitlab.osmosys.co/incident-reporter/incident-reporter-angular-portal", "OQSHA Portal")</f>
        <v/>
      </c>
      <c r="F2200">
        <f>HYPERLINK("http://gitlab.osmosys.co/incident-reporter/incident-reporter-angular-portal/-/merge_requests/3526", "feat: implement moc clarification")</f>
        <v/>
      </c>
      <c r="G2200" t="inlineStr">
        <is>
          <t>feat/moc-clarification</t>
        </is>
      </c>
      <c r="H2200" t="inlineStr">
        <is>
          <t>sprint-17</t>
        </is>
      </c>
      <c r="I2200" t="inlineStr">
        <is>
          <t>merged</t>
        </is>
      </c>
      <c r="J2200" t="inlineStr">
        <is>
          <t>7443569ac92dc736060a60ef7b23136ec2c99e5c</t>
        </is>
      </c>
      <c r="K2200">
        <f>HYPERLINK("http://gitlab.osmosys.co/incident-reporter/incident-reporter-angular-portal/-/merge_requests/3526#note_240028", "fixed")</f>
        <v/>
      </c>
      <c r="L2200" t="inlineStr">
        <is>
          <t>2025-07-22 12:19:03.141 IST</t>
        </is>
      </c>
      <c r="M2200" t="inlineStr">
        <is>
          <t>Dhruv Pahadia</t>
        </is>
      </c>
      <c r="N2200" t="inlineStr">
        <is>
          <t>No</t>
        </is>
      </c>
      <c r="O2200" t="inlineStr">
        <is>
          <t>Yes</t>
        </is>
      </c>
      <c r="P2200" t="inlineStr">
        <is>
          <t>Soundariya B</t>
        </is>
      </c>
      <c r="Q2200" t="inlineStr">
        <is>
          <t>Bad</t>
        </is>
      </c>
    </row>
    <row r="2201">
      <c r="A2201" t="inlineStr">
        <is>
          <t>dhruv.p</t>
        </is>
      </c>
      <c r="B2201" t="inlineStr">
        <is>
          <t>Dhruv Pahadia</t>
        </is>
      </c>
      <c r="C2201" t="inlineStr">
        <is>
          <t>dhruv.p@osmosys.co</t>
        </is>
      </c>
      <c r="D2201" t="inlineStr">
        <is>
          <t>incident-reporter</t>
        </is>
      </c>
      <c r="E2201">
        <f>HYPERLINK("http://gitlab.osmosys.co/incident-reporter/incident-reporter-angular-portal", "OQSHA Portal")</f>
        <v/>
      </c>
      <c r="F2201">
        <f>HYPERLINK("http://gitlab.osmosys.co/incident-reporter/incident-reporter-angular-portal/-/merge_requests/3526", "feat: implement moc clarification")</f>
        <v/>
      </c>
      <c r="G2201" t="inlineStr">
        <is>
          <t>feat/moc-clarification</t>
        </is>
      </c>
      <c r="H2201" t="inlineStr">
        <is>
          <t>sprint-17</t>
        </is>
      </c>
      <c r="I2201" t="inlineStr">
        <is>
          <t>merged</t>
        </is>
      </c>
      <c r="J2201" t="inlineStr">
        <is>
          <t>baef1fdaa777182252b773ff98e8fe566b4ee4ff</t>
        </is>
      </c>
      <c r="K2201">
        <f>HYPERLINK("http://gitlab.osmosys.co/incident-reporter/incident-reporter-angular-portal/-/merge_requests/3526#note_239638", "Logger is missing
Catch and error block must be there with logger and error toaster")</f>
        <v/>
      </c>
      <c r="L2201" t="inlineStr">
        <is>
          <t>2025-07-22 00:36:05.593 IST</t>
        </is>
      </c>
      <c r="M2201" t="inlineStr">
        <is>
          <t>Soundariya B</t>
        </is>
      </c>
      <c r="N2201" t="inlineStr">
        <is>
          <t>Yes</t>
        </is>
      </c>
      <c r="O2201" t="inlineStr">
        <is>
          <t>Yes</t>
        </is>
      </c>
      <c r="P2201" t="inlineStr">
        <is>
          <t>Soundariya B</t>
        </is>
      </c>
      <c r="Q2201" t="inlineStr">
        <is>
          <t>Bad</t>
        </is>
      </c>
    </row>
    <row r="2202">
      <c r="A2202" t="inlineStr">
        <is>
          <t>dhruv.p</t>
        </is>
      </c>
      <c r="B2202" t="inlineStr">
        <is>
          <t>Dhruv Pahadia</t>
        </is>
      </c>
      <c r="C2202" t="inlineStr">
        <is>
          <t>dhruv.p@osmosys.co</t>
        </is>
      </c>
      <c r="D2202" t="inlineStr">
        <is>
          <t>incident-reporter</t>
        </is>
      </c>
      <c r="E2202">
        <f>HYPERLINK("http://gitlab.osmosys.co/incident-reporter/incident-reporter-angular-portal", "OQSHA Portal")</f>
        <v/>
      </c>
      <c r="F2202">
        <f>HYPERLINK("http://gitlab.osmosys.co/incident-reporter/incident-reporter-angular-portal/-/merge_requests/3526", "feat: implement moc clarification")</f>
        <v/>
      </c>
      <c r="G2202" t="inlineStr">
        <is>
          <t>feat/moc-clarification</t>
        </is>
      </c>
      <c r="H2202" t="inlineStr">
        <is>
          <t>sprint-17</t>
        </is>
      </c>
      <c r="I2202" t="inlineStr">
        <is>
          <t>merged</t>
        </is>
      </c>
      <c r="J2202" t="inlineStr">
        <is>
          <t>baef1fdaa777182252b773ff98e8fe566b4ee4ff</t>
        </is>
      </c>
      <c r="K2202">
        <f>HYPERLINK("http://gitlab.osmosys.co/incident-reporter/incident-reporter-angular-portal/-/merge_requests/3526#note_239847", "Added")</f>
        <v/>
      </c>
      <c r="L2202" t="inlineStr">
        <is>
          <t>2025-07-22 11:11:33.982 IST</t>
        </is>
      </c>
      <c r="M2202" t="inlineStr">
        <is>
          <t>Dhruv Pahadia</t>
        </is>
      </c>
      <c r="N2202" t="inlineStr">
        <is>
          <t>No</t>
        </is>
      </c>
      <c r="O2202" t="inlineStr">
        <is>
          <t>Yes</t>
        </is>
      </c>
      <c r="P2202" t="inlineStr">
        <is>
          <t>Soundariya B</t>
        </is>
      </c>
      <c r="Q2202" t="inlineStr">
        <is>
          <t>Bad</t>
        </is>
      </c>
    </row>
    <row r="2203">
      <c r="A2203" t="inlineStr">
        <is>
          <t>dhruv.p</t>
        </is>
      </c>
      <c r="B2203" t="inlineStr">
        <is>
          <t>Dhruv Pahadia</t>
        </is>
      </c>
      <c r="C2203" t="inlineStr">
        <is>
          <t>dhruv.p@osmosys.co</t>
        </is>
      </c>
      <c r="D2203" t="inlineStr">
        <is>
          <t>incident-reporter</t>
        </is>
      </c>
      <c r="E2203">
        <f>HYPERLINK("http://gitlab.osmosys.co/incident-reporter/incident-reporter-angular-portal", "OQSHA Portal")</f>
        <v/>
      </c>
      <c r="F2203">
        <f>HYPERLINK("http://gitlab.osmosys.co/incident-reporter/incident-reporter-angular-portal/-/merge_requests/3526", "feat: implement moc clarification")</f>
        <v/>
      </c>
      <c r="G2203" t="inlineStr">
        <is>
          <t>feat/moc-clarification</t>
        </is>
      </c>
      <c r="H2203" t="inlineStr">
        <is>
          <t>sprint-17</t>
        </is>
      </c>
      <c r="I2203" t="inlineStr">
        <is>
          <t>merged</t>
        </is>
      </c>
      <c r="J2203" t="inlineStr">
        <is>
          <t>baef1fdaa777182252b773ff98e8fe566b4ee4ff</t>
        </is>
      </c>
      <c r="K2203">
        <f>HYPERLINK("http://gitlab.osmosys.co/incident-reporter/incident-reporter-angular-portal/-/merge_requests/3526#note_239918", "Not yet fixed")</f>
        <v/>
      </c>
      <c r="L2203" t="inlineStr">
        <is>
          <t>2025-07-22 11:36:39.845 IST</t>
        </is>
      </c>
      <c r="M2203" t="inlineStr">
        <is>
          <t>Soundariya B</t>
        </is>
      </c>
      <c r="N2203" t="inlineStr">
        <is>
          <t>Yes</t>
        </is>
      </c>
      <c r="O2203" t="inlineStr">
        <is>
          <t>Yes</t>
        </is>
      </c>
      <c r="P2203" t="inlineStr">
        <is>
          <t>Soundariya B</t>
        </is>
      </c>
      <c r="Q2203" t="inlineStr">
        <is>
          <t>Bad</t>
        </is>
      </c>
    </row>
    <row r="2204">
      <c r="A2204" t="inlineStr">
        <is>
          <t>dhruv.p</t>
        </is>
      </c>
      <c r="B2204" t="inlineStr">
        <is>
          <t>Dhruv Pahadia</t>
        </is>
      </c>
      <c r="C2204" t="inlineStr">
        <is>
          <t>dhruv.p@osmosys.co</t>
        </is>
      </c>
      <c r="D2204" t="inlineStr">
        <is>
          <t>incident-reporter</t>
        </is>
      </c>
      <c r="E2204">
        <f>HYPERLINK("http://gitlab.osmosys.co/incident-reporter/incident-reporter-angular-portal", "OQSHA Portal")</f>
        <v/>
      </c>
      <c r="F2204">
        <f>HYPERLINK("http://gitlab.osmosys.co/incident-reporter/incident-reporter-angular-portal/-/merge_requests/3526", "feat: implement moc clarification")</f>
        <v/>
      </c>
      <c r="G2204" t="inlineStr">
        <is>
          <t>feat/moc-clarification</t>
        </is>
      </c>
      <c r="H2204" t="inlineStr">
        <is>
          <t>sprint-17</t>
        </is>
      </c>
      <c r="I2204" t="inlineStr">
        <is>
          <t>merged</t>
        </is>
      </c>
      <c r="J2204" t="inlineStr">
        <is>
          <t>bc0a81131f74fbcbc3177a08c8a33c896379a37b</t>
        </is>
      </c>
      <c r="K2204">
        <f>HYPERLINK("http://gitlab.osmosys.co/incident-reporter/incident-reporter-angular-portal/-/merge_requests/3526#note_239639", "Remove comments")</f>
        <v/>
      </c>
      <c r="L2204" t="inlineStr">
        <is>
          <t>2025-07-22 00:36:05.672 IST</t>
        </is>
      </c>
      <c r="M2204" t="inlineStr">
        <is>
          <t>Soundariya B</t>
        </is>
      </c>
      <c r="N2204" t="inlineStr">
        <is>
          <t>Yes</t>
        </is>
      </c>
      <c r="O2204" t="inlineStr">
        <is>
          <t>Yes</t>
        </is>
      </c>
      <c r="P2204" t="inlineStr">
        <is>
          <t>Soundariya B</t>
        </is>
      </c>
      <c r="Q2204" t="inlineStr">
        <is>
          <t>Bad</t>
        </is>
      </c>
    </row>
    <row r="2205">
      <c r="A2205" t="inlineStr">
        <is>
          <t>dhruv.p</t>
        </is>
      </c>
      <c r="B2205" t="inlineStr">
        <is>
          <t>Dhruv Pahadia</t>
        </is>
      </c>
      <c r="C2205" t="inlineStr">
        <is>
          <t>dhruv.p@osmosys.co</t>
        </is>
      </c>
      <c r="D2205" t="inlineStr">
        <is>
          <t>incident-reporter</t>
        </is>
      </c>
      <c r="E2205">
        <f>HYPERLINK("http://gitlab.osmosys.co/incident-reporter/incident-reporter-angular-portal", "OQSHA Portal")</f>
        <v/>
      </c>
      <c r="F2205">
        <f>HYPERLINK("http://gitlab.osmosys.co/incident-reporter/incident-reporter-angular-portal/-/merge_requests/3526", "feat: implement moc clarification")</f>
        <v/>
      </c>
      <c r="G2205" t="inlineStr">
        <is>
          <t>feat/moc-clarification</t>
        </is>
      </c>
      <c r="H2205" t="inlineStr">
        <is>
          <t>sprint-17</t>
        </is>
      </c>
      <c r="I2205" t="inlineStr">
        <is>
          <t>merged</t>
        </is>
      </c>
      <c r="J2205" t="inlineStr">
        <is>
          <t>bc0a81131f74fbcbc3177a08c8a33c896379a37b</t>
        </is>
      </c>
      <c r="K2205">
        <f>HYPERLINK("http://gitlab.osmosys.co/incident-reporter/incident-reporter-angular-portal/-/merge_requests/3526#note_239848", "fixed")</f>
        <v/>
      </c>
      <c r="L2205" t="inlineStr">
        <is>
          <t>2025-07-22 11:12:01.333 IST</t>
        </is>
      </c>
      <c r="M2205" t="inlineStr">
        <is>
          <t>Dhruv Pahadia</t>
        </is>
      </c>
      <c r="N2205" t="inlineStr">
        <is>
          <t>No</t>
        </is>
      </c>
      <c r="O2205" t="inlineStr">
        <is>
          <t>Yes</t>
        </is>
      </c>
      <c r="P2205" t="inlineStr">
        <is>
          <t>Soundariya B</t>
        </is>
      </c>
      <c r="Q2205" t="inlineStr">
        <is>
          <t>Bad</t>
        </is>
      </c>
    </row>
    <row r="2206">
      <c r="A2206" t="inlineStr">
        <is>
          <t>dhruv.p</t>
        </is>
      </c>
      <c r="B2206" t="inlineStr">
        <is>
          <t>Dhruv Pahadia</t>
        </is>
      </c>
      <c r="C2206" t="inlineStr">
        <is>
          <t>dhruv.p@osmosys.co</t>
        </is>
      </c>
      <c r="D2206" t="inlineStr">
        <is>
          <t>incident-reporter</t>
        </is>
      </c>
      <c r="E2206">
        <f>HYPERLINK("http://gitlab.osmosys.co/incident-reporter/incident-reporter-angular-portal", "OQSHA Portal")</f>
        <v/>
      </c>
      <c r="F2206">
        <f>HYPERLINK("http://gitlab.osmosys.co/incident-reporter/incident-reporter-angular-portal/-/merge_requests/3526", "feat: implement moc clarification")</f>
        <v/>
      </c>
      <c r="G2206" t="inlineStr">
        <is>
          <t>feat/moc-clarification</t>
        </is>
      </c>
      <c r="H2206" t="inlineStr">
        <is>
          <t>sprint-17</t>
        </is>
      </c>
      <c r="I2206" t="inlineStr">
        <is>
          <t>merged</t>
        </is>
      </c>
      <c r="J2206" t="inlineStr">
        <is>
          <t>bc0a81131f74fbcbc3177a08c8a33c896379a37b</t>
        </is>
      </c>
      <c r="K2206">
        <f>HYPERLINK("http://gitlab.osmosys.co/incident-reporter/incident-reporter-angular-portal/-/merge_requests/3526#note_239919", "Not yet fixed")</f>
        <v/>
      </c>
      <c r="L2206" t="inlineStr">
        <is>
          <t>2025-07-22 11:36:50.441 IST</t>
        </is>
      </c>
      <c r="M2206" t="inlineStr">
        <is>
          <t>Soundariya B</t>
        </is>
      </c>
      <c r="N2206" t="inlineStr">
        <is>
          <t>Yes</t>
        </is>
      </c>
      <c r="O2206" t="inlineStr">
        <is>
          <t>Yes</t>
        </is>
      </c>
      <c r="P2206" t="inlineStr">
        <is>
          <t>Soundariya B</t>
        </is>
      </c>
      <c r="Q2206" t="inlineStr">
        <is>
          <t>Bad</t>
        </is>
      </c>
    </row>
    <row r="2207">
      <c r="A2207" t="inlineStr">
        <is>
          <t>dhruv.p</t>
        </is>
      </c>
      <c r="B2207" t="inlineStr">
        <is>
          <t>Dhruv Pahadia</t>
        </is>
      </c>
      <c r="C2207" t="inlineStr">
        <is>
          <t>dhruv.p@osmosys.co</t>
        </is>
      </c>
      <c r="D2207" t="inlineStr">
        <is>
          <t>incident-reporter</t>
        </is>
      </c>
      <c r="E2207">
        <f>HYPERLINK("http://gitlab.osmosys.co/incident-reporter/incident-reporter-angular-portal", "OQSHA Portal")</f>
        <v/>
      </c>
      <c r="F2207">
        <f>HYPERLINK("http://gitlab.osmosys.co/incident-reporter/incident-reporter-angular-portal/-/merge_requests/3526", "feat: implement moc clarification")</f>
        <v/>
      </c>
      <c r="G2207" t="inlineStr">
        <is>
          <t>feat/moc-clarification</t>
        </is>
      </c>
      <c r="H2207" t="inlineStr">
        <is>
          <t>sprint-17</t>
        </is>
      </c>
      <c r="I2207" t="inlineStr">
        <is>
          <t>merged</t>
        </is>
      </c>
      <c r="J2207" t="inlineStr">
        <is>
          <t>61f0838b3f67f289456deeb99229e48a9eb50c40</t>
        </is>
      </c>
      <c r="K2207">
        <f>HYPERLINK("http://gitlab.osmosys.co/incident-reporter/incident-reporter-angular-portal/-/merge_requests/3526#note_239640", "It should be payload rename it
and also can you do the payload formation in ts file itself?")</f>
        <v/>
      </c>
      <c r="L2207" t="inlineStr">
        <is>
          <t>2025-07-22 00:36:05.749 IST</t>
        </is>
      </c>
      <c r="M2207" t="inlineStr">
        <is>
          <t>Soundariya B</t>
        </is>
      </c>
      <c r="N2207" t="inlineStr">
        <is>
          <t>Yes</t>
        </is>
      </c>
      <c r="O2207" t="inlineStr">
        <is>
          <t>Yes</t>
        </is>
      </c>
      <c r="P2207" t="inlineStr">
        <is>
          <t>Soundariya B</t>
        </is>
      </c>
      <c r="Q2207" t="inlineStr">
        <is>
          <t>Neutral</t>
        </is>
      </c>
    </row>
    <row r="2208">
      <c r="A2208" t="inlineStr">
        <is>
          <t>dhruv.p</t>
        </is>
      </c>
      <c r="B2208" t="inlineStr">
        <is>
          <t>Dhruv Pahadia</t>
        </is>
      </c>
      <c r="C2208" t="inlineStr">
        <is>
          <t>dhruv.p@osmosys.co</t>
        </is>
      </c>
      <c r="D2208" t="inlineStr">
        <is>
          <t>incident-reporter</t>
        </is>
      </c>
      <c r="E2208">
        <f>HYPERLINK("http://gitlab.osmosys.co/incident-reporter/incident-reporter-angular-portal", "OQSHA Portal")</f>
        <v/>
      </c>
      <c r="F2208">
        <f>HYPERLINK("http://gitlab.osmosys.co/incident-reporter/incident-reporter-angular-portal/-/merge_requests/3526", "feat: implement moc clarification")</f>
        <v/>
      </c>
      <c r="G2208" t="inlineStr">
        <is>
          <t>feat/moc-clarification</t>
        </is>
      </c>
      <c r="H2208" t="inlineStr">
        <is>
          <t>sprint-17</t>
        </is>
      </c>
      <c r="I2208" t="inlineStr">
        <is>
          <t>merged</t>
        </is>
      </c>
      <c r="J2208" t="inlineStr">
        <is>
          <t>61f0838b3f67f289456deeb99229e48a9eb50c40</t>
        </is>
      </c>
      <c r="K2208">
        <f>HYPERLINK("http://gitlab.osmosys.co/incident-reporter/incident-reporter-angular-portal/-/merge_requests/3526#note_239850", "Renamed")</f>
        <v/>
      </c>
      <c r="L2208" t="inlineStr">
        <is>
          <t>2025-07-22 11:13:07.277 IST</t>
        </is>
      </c>
      <c r="M2208" t="inlineStr">
        <is>
          <t>Dhruv Pahadia</t>
        </is>
      </c>
      <c r="N2208" t="inlineStr">
        <is>
          <t>No</t>
        </is>
      </c>
      <c r="O2208" t="inlineStr">
        <is>
          <t>Yes</t>
        </is>
      </c>
      <c r="P2208" t="inlineStr">
        <is>
          <t>Soundariya B</t>
        </is>
      </c>
      <c r="Q2208" t="inlineStr">
        <is>
          <t>Neutral</t>
        </is>
      </c>
    </row>
    <row r="2209">
      <c r="A2209" t="inlineStr">
        <is>
          <t>dhruv.p</t>
        </is>
      </c>
      <c r="B2209" t="inlineStr">
        <is>
          <t>Dhruv Pahadia</t>
        </is>
      </c>
      <c r="C2209" t="inlineStr">
        <is>
          <t>dhruv.p@osmosys.co</t>
        </is>
      </c>
      <c r="D2209" t="inlineStr">
        <is>
          <t>incident-reporter</t>
        </is>
      </c>
      <c r="E2209">
        <f>HYPERLINK("http://gitlab.osmosys.co/incident-reporter/incident-reporter-angular-portal", "OQSHA Portal")</f>
        <v/>
      </c>
      <c r="F2209">
        <f>HYPERLINK("http://gitlab.osmosys.co/incident-reporter/incident-reporter-angular-portal/-/merge_requests/3526", "feat: implement moc clarification")</f>
        <v/>
      </c>
      <c r="G2209" t="inlineStr">
        <is>
          <t>feat/moc-clarification</t>
        </is>
      </c>
      <c r="H2209" t="inlineStr">
        <is>
          <t>sprint-17</t>
        </is>
      </c>
      <c r="I2209" t="inlineStr">
        <is>
          <t>merged</t>
        </is>
      </c>
      <c r="J2209" t="inlineStr">
        <is>
          <t>61f0838b3f67f289456deeb99229e48a9eb50c40</t>
        </is>
      </c>
      <c r="K2209">
        <f>HYPERLINK("http://gitlab.osmosys.co/incident-reporter/incident-reporter-angular-portal/-/merge_requests/3526#note_239853", "This function is used in multiple places will have to change at all those place so there would be repetition")</f>
        <v/>
      </c>
      <c r="L2209" t="inlineStr">
        <is>
          <t>2025-07-22 11:14:25.298 IST</t>
        </is>
      </c>
      <c r="M2209" t="inlineStr">
        <is>
          <t>Dhruv Pahadia</t>
        </is>
      </c>
      <c r="N2209" t="inlineStr">
        <is>
          <t>No</t>
        </is>
      </c>
      <c r="O2209" t="inlineStr">
        <is>
          <t>Yes</t>
        </is>
      </c>
      <c r="P2209" t="inlineStr">
        <is>
          <t>Soundariya B</t>
        </is>
      </c>
      <c r="Q2209" t="inlineStr">
        <is>
          <t>Neutral</t>
        </is>
      </c>
    </row>
    <row r="2210">
      <c r="A2210" t="inlineStr">
        <is>
          <t>dhruv.p</t>
        </is>
      </c>
      <c r="B2210" t="inlineStr">
        <is>
          <t>Dhruv Pahadia</t>
        </is>
      </c>
      <c r="C2210" t="inlineStr">
        <is>
          <t>dhruv.p@osmosys.co</t>
        </is>
      </c>
      <c r="D2210" t="inlineStr">
        <is>
          <t>incident-reporter</t>
        </is>
      </c>
      <c r="E2210">
        <f>HYPERLINK("http://gitlab.osmosys.co/incident-reporter/incident-reporter-angular-portal", "OQSHA Portal")</f>
        <v/>
      </c>
      <c r="F2210">
        <f>HYPERLINK("http://gitlab.osmosys.co/incident-reporter/incident-reporter-angular-portal/-/merge_requests/3526", "feat: implement moc clarification")</f>
        <v/>
      </c>
      <c r="G2210" t="inlineStr">
        <is>
          <t>feat/moc-clarification</t>
        </is>
      </c>
      <c r="H2210" t="inlineStr">
        <is>
          <t>sprint-17</t>
        </is>
      </c>
      <c r="I2210" t="inlineStr">
        <is>
          <t>merged</t>
        </is>
      </c>
      <c r="J2210" t="inlineStr">
        <is>
          <t>aef62e4801599608c2c74b544d41e38a72f6aa08</t>
        </is>
      </c>
      <c r="K2210">
        <f>HYPERLINK("http://gitlab.osmosys.co/incident-reporter/incident-reporter-angular-portal/-/merge_requests/3526#note_239641", "it should be Clarification(s)")</f>
        <v/>
      </c>
      <c r="L2210" t="inlineStr">
        <is>
          <t>2025-07-22 00:36:05.843 IST</t>
        </is>
      </c>
      <c r="M2210" t="inlineStr">
        <is>
          <t>Soundariya B</t>
        </is>
      </c>
      <c r="N2210" t="inlineStr">
        <is>
          <t>Yes</t>
        </is>
      </c>
      <c r="O2210" t="inlineStr">
        <is>
          <t>Yes</t>
        </is>
      </c>
      <c r="P2210" t="inlineStr">
        <is>
          <t>Soundariya B</t>
        </is>
      </c>
      <c r="Q2210" t="inlineStr">
        <is>
          <t>Bad</t>
        </is>
      </c>
    </row>
    <row r="2211">
      <c r="A2211" t="inlineStr">
        <is>
          <t>dhruv.p</t>
        </is>
      </c>
      <c r="B2211" t="inlineStr">
        <is>
          <t>Dhruv Pahadia</t>
        </is>
      </c>
      <c r="C2211" t="inlineStr">
        <is>
          <t>dhruv.p@osmosys.co</t>
        </is>
      </c>
      <c r="D2211" t="inlineStr">
        <is>
          <t>incident-reporter</t>
        </is>
      </c>
      <c r="E2211">
        <f>HYPERLINK("http://gitlab.osmosys.co/incident-reporter/incident-reporter-angular-portal", "OQSHA Portal")</f>
        <v/>
      </c>
      <c r="F2211">
        <f>HYPERLINK("http://gitlab.osmosys.co/incident-reporter/incident-reporter-angular-portal/-/merge_requests/3526", "feat: implement moc clarification")</f>
        <v/>
      </c>
      <c r="G2211" t="inlineStr">
        <is>
          <t>feat/moc-clarification</t>
        </is>
      </c>
      <c r="H2211" t="inlineStr">
        <is>
          <t>sprint-17</t>
        </is>
      </c>
      <c r="I2211" t="inlineStr">
        <is>
          <t>merged</t>
        </is>
      </c>
      <c r="J2211" t="inlineStr">
        <is>
          <t>aef62e4801599608c2c74b544d41e38a72f6aa08</t>
        </is>
      </c>
      <c r="K2211">
        <f>HYPERLINK("http://gitlab.osmosys.co/incident-reporter/incident-reporter-angular-portal/-/merge_requests/3526#note_239858", "Fixed")</f>
        <v/>
      </c>
      <c r="L2211" t="inlineStr">
        <is>
          <t>2025-07-22 11:16:07.623 IST</t>
        </is>
      </c>
      <c r="M2211" t="inlineStr">
        <is>
          <t>Dhruv Pahadia</t>
        </is>
      </c>
      <c r="N2211" t="inlineStr">
        <is>
          <t>No</t>
        </is>
      </c>
      <c r="O2211" t="inlineStr">
        <is>
          <t>Yes</t>
        </is>
      </c>
      <c r="P2211" t="inlineStr">
        <is>
          <t>Soundariya B</t>
        </is>
      </c>
      <c r="Q2211" t="inlineStr">
        <is>
          <t>Bad</t>
        </is>
      </c>
    </row>
    <row r="2212">
      <c r="A2212" t="inlineStr">
        <is>
          <t>dhruv.p</t>
        </is>
      </c>
      <c r="B2212" t="inlineStr">
        <is>
          <t>Dhruv Pahadia</t>
        </is>
      </c>
      <c r="C2212" t="inlineStr">
        <is>
          <t>dhruv.p@osmosys.co</t>
        </is>
      </c>
      <c r="D2212" t="inlineStr">
        <is>
          <t>incident-reporter</t>
        </is>
      </c>
      <c r="E2212">
        <f>HYPERLINK("http://gitlab.osmosys.co/incident-reporter/incident-reporter-angular-portal", "OQSHA Portal")</f>
        <v/>
      </c>
      <c r="F2212">
        <f>HYPERLINK("http://gitlab.osmosys.co/incident-reporter/incident-reporter-angular-portal/-/merge_requests/3526", "feat: implement moc clarification")</f>
        <v/>
      </c>
      <c r="G2212" t="inlineStr">
        <is>
          <t>feat/moc-clarification</t>
        </is>
      </c>
      <c r="H2212" t="inlineStr">
        <is>
          <t>sprint-17</t>
        </is>
      </c>
      <c r="I2212" t="inlineStr">
        <is>
          <t>merged</t>
        </is>
      </c>
      <c r="J2212" t="inlineStr">
        <is>
          <t>aef62e4801599608c2c74b544d41e38a72f6aa08</t>
        </is>
      </c>
      <c r="K2212">
        <f>HYPERLINK("http://gitlab.osmosys.co/incident-reporter/incident-reporter-angular-portal/-/merge_requests/3526#note_239920", "Not yet fixed")</f>
        <v/>
      </c>
      <c r="L2212" t="inlineStr">
        <is>
          <t>2025-07-22 11:37:02.315 IST</t>
        </is>
      </c>
      <c r="M2212" t="inlineStr">
        <is>
          <t>Soundariya B</t>
        </is>
      </c>
      <c r="N2212" t="inlineStr">
        <is>
          <t>Yes</t>
        </is>
      </c>
      <c r="O2212" t="inlineStr">
        <is>
          <t>Yes</t>
        </is>
      </c>
      <c r="P2212" t="inlineStr">
        <is>
          <t>Soundariya B</t>
        </is>
      </c>
      <c r="Q2212" t="inlineStr">
        <is>
          <t>Bad</t>
        </is>
      </c>
    </row>
    <row r="2213">
      <c r="A2213" t="inlineStr">
        <is>
          <t>dhruv.p</t>
        </is>
      </c>
      <c r="B2213" t="inlineStr">
        <is>
          <t>Dhruv Pahadia</t>
        </is>
      </c>
      <c r="C2213" t="inlineStr">
        <is>
          <t>dhruv.p@osmosys.co</t>
        </is>
      </c>
      <c r="D2213" t="inlineStr">
        <is>
          <t>incident-reporter</t>
        </is>
      </c>
      <c r="E2213">
        <f>HYPERLINK("http://gitlab.osmosys.co/incident-reporter/incident-reporter-angular-portal", "OQSHA Portal")</f>
        <v/>
      </c>
      <c r="F2213">
        <f>HYPERLINK("http://gitlab.osmosys.co/incident-reporter/incident-reporter-angular-portal/-/merge_requests/3504", "fix: show approver even when he doesn't have role")</f>
        <v/>
      </c>
      <c r="G2213" t="inlineStr">
        <is>
          <t>fix/empty-approver</t>
        </is>
      </c>
      <c r="H2213" t="inlineStr">
        <is>
          <t>sprint-17</t>
        </is>
      </c>
      <c r="I2213" t="inlineStr">
        <is>
          <t>closed</t>
        </is>
      </c>
      <c r="J2213" t="inlineStr">
        <is>
          <t>9d2cc64cc8a8091e26a59394de42a12a892fa4b8</t>
        </is>
      </c>
      <c r="K2213">
        <f>HYPERLINK("http://gitlab.osmosys.co/incident-reporter/incident-reporter-angular-portal/-/merge_requests/3504#note_242361", "@dhruv.p  Please check if it's still required, otherwise close it.")</f>
        <v/>
      </c>
      <c r="L2213" t="inlineStr">
        <is>
          <t>2025-07-26 01:33:14.984 IST</t>
        </is>
      </c>
      <c r="M2213" t="inlineStr">
        <is>
          <t>Raj Kumar</t>
        </is>
      </c>
      <c r="N2213" t="inlineStr">
        <is>
          <t>Yes</t>
        </is>
      </c>
      <c r="O2213" t="inlineStr">
        <is>
          <t>No</t>
        </is>
      </c>
      <c r="P2213" t="inlineStr"/>
      <c r="Q2213" t="inlineStr">
        <is>
          <t>Neutral</t>
        </is>
      </c>
    </row>
    <row r="2214">
      <c r="A2214" t="inlineStr">
        <is>
          <t>dhruv.p</t>
        </is>
      </c>
      <c r="B2214" t="inlineStr">
        <is>
          <t>Dhruv Pahadia</t>
        </is>
      </c>
      <c r="C2214" t="inlineStr">
        <is>
          <t>dhruv.p@osmosys.co</t>
        </is>
      </c>
      <c r="D2214" t="inlineStr">
        <is>
          <t>incident-reporter</t>
        </is>
      </c>
      <c r="E2214">
        <f>HYPERLINK("http://gitlab.osmosys.co/incident-reporter/incident-reporter-angular-portal", "OQSHA Portal")</f>
        <v/>
      </c>
      <c r="F2214">
        <f>HYPERLINK("http://gitlab.osmosys.co/incident-reporter/incident-reporter-angular-portal/-/merge_requests/3497", "fix: fix duplicate image")</f>
        <v/>
      </c>
      <c r="G2214" t="inlineStr">
        <is>
          <t>fix/duplicate-image</t>
        </is>
      </c>
      <c r="H2214" t="inlineStr">
        <is>
          <t>sprint-17</t>
        </is>
      </c>
      <c r="I2214" t="inlineStr">
        <is>
          <t>merged</t>
        </is>
      </c>
      <c r="J2214" t="inlineStr"/>
      <c r="K2214" t="inlineStr"/>
      <c r="L2214" t="inlineStr"/>
      <c r="M2214" t="inlineStr"/>
      <c r="N2214" t="inlineStr"/>
      <c r="O2214" t="inlineStr"/>
      <c r="P2214" t="inlineStr"/>
      <c r="Q2214" t="inlineStr"/>
    </row>
    <row r="2215">
      <c r="A2215" t="inlineStr">
        <is>
          <t>dhruv.p</t>
        </is>
      </c>
      <c r="B2215" t="inlineStr">
        <is>
          <t>Dhruv Pahadia</t>
        </is>
      </c>
      <c r="C2215" t="inlineStr">
        <is>
          <t>dhruv.p@osmosys.co</t>
        </is>
      </c>
      <c r="D2215" t="inlineStr">
        <is>
          <t>incident-reporter</t>
        </is>
      </c>
      <c r="E2215">
        <f>HYPERLINK("http://gitlab.osmosys.co/incident-reporter/incident-reporter-angular-portal", "OQSHA Portal")</f>
        <v/>
      </c>
      <c r="F2215">
        <f>HYPERLINK("http://gitlab.osmosys.co/incident-reporter/incident-reporter-angular-portal/-/merge_requests/3495", "fix: fix ptw setup grid")</f>
        <v/>
      </c>
      <c r="G2215" t="inlineStr">
        <is>
          <t>fix/ptw-setup-grid</t>
        </is>
      </c>
      <c r="H2215" t="inlineStr">
        <is>
          <t>sprint-17</t>
        </is>
      </c>
      <c r="I2215" t="inlineStr">
        <is>
          <t>merged</t>
        </is>
      </c>
      <c r="J2215" t="inlineStr"/>
      <c r="K2215" t="inlineStr"/>
      <c r="L2215" t="inlineStr"/>
      <c r="M2215" t="inlineStr"/>
      <c r="N2215" t="inlineStr"/>
      <c r="O2215" t="inlineStr"/>
      <c r="P2215" t="inlineStr"/>
      <c r="Q2215" t="inlineStr"/>
    </row>
    <row r="2216">
      <c r="A2216" t="inlineStr">
        <is>
          <t>dhruv.p</t>
        </is>
      </c>
      <c r="B2216" t="inlineStr">
        <is>
          <t>Dhruv Pahadia</t>
        </is>
      </c>
      <c r="C2216" t="inlineStr">
        <is>
          <t>dhruv.p@osmosys.co</t>
        </is>
      </c>
      <c r="D2216" t="inlineStr">
        <is>
          <t>incident-reporter</t>
        </is>
      </c>
      <c r="E2216">
        <f>HYPERLINK("http://gitlab.osmosys.co/incident-reporter/incident-reporter-angular-portal", "OQSHA Portal")</f>
        <v/>
      </c>
      <c r="F2216">
        <f>HYPERLINK("http://gitlab.osmosys.co/incident-reporter/incident-reporter-angular-portal/-/merge_requests/3476", "fix: fix moc departments component")</f>
        <v/>
      </c>
      <c r="G2216" t="inlineStr">
        <is>
          <t>fix/moc-controls</t>
        </is>
      </c>
      <c r="H2216" t="inlineStr">
        <is>
          <t>sprint-17</t>
        </is>
      </c>
      <c r="I2216" t="inlineStr">
        <is>
          <t>merged</t>
        </is>
      </c>
      <c r="J2216" t="inlineStr">
        <is>
          <t>99649ad5f0c54e7fbfa532bcc178dc86e0516704</t>
        </is>
      </c>
      <c r="K2216">
        <f>HYPERLINK("http://gitlab.osmosys.co/incident-reporter/incident-reporter-angular-portal/-/merge_requests/3476#note_238105", "These type of method should be taken from shared or common file?")</f>
        <v/>
      </c>
      <c r="L2216" t="inlineStr">
        <is>
          <t>2025-07-17 11:35:14.730 IST</t>
        </is>
      </c>
      <c r="M2216" t="inlineStr">
        <is>
          <t>Soundariya B</t>
        </is>
      </c>
      <c r="N2216" t="inlineStr">
        <is>
          <t>Yes</t>
        </is>
      </c>
      <c r="O2216" t="inlineStr">
        <is>
          <t>Yes</t>
        </is>
      </c>
      <c r="P2216" t="inlineStr">
        <is>
          <t>Soundariya B</t>
        </is>
      </c>
      <c r="Q2216" t="inlineStr">
        <is>
          <t>Good</t>
        </is>
      </c>
    </row>
    <row r="2217">
      <c r="A2217" t="inlineStr">
        <is>
          <t>dhruv.p</t>
        </is>
      </c>
      <c r="B2217" t="inlineStr">
        <is>
          <t>Dhruv Pahadia</t>
        </is>
      </c>
      <c r="C2217" t="inlineStr">
        <is>
          <t>dhruv.p@osmosys.co</t>
        </is>
      </c>
      <c r="D2217" t="inlineStr">
        <is>
          <t>incident-reporter</t>
        </is>
      </c>
      <c r="E2217">
        <f>HYPERLINK("http://gitlab.osmosys.co/incident-reporter/incident-reporter-angular-portal", "OQSHA Portal")</f>
        <v/>
      </c>
      <c r="F2217">
        <f>HYPERLINK("http://gitlab.osmosys.co/incident-reporter/incident-reporter-angular-portal/-/merge_requests/3476", "fix: fix moc departments component")</f>
        <v/>
      </c>
      <c r="G2217" t="inlineStr">
        <is>
          <t>fix/moc-controls</t>
        </is>
      </c>
      <c r="H2217" t="inlineStr">
        <is>
          <t>sprint-17</t>
        </is>
      </c>
      <c r="I2217" t="inlineStr">
        <is>
          <t>merged</t>
        </is>
      </c>
      <c r="J2217" t="inlineStr">
        <is>
          <t>99649ad5f0c54e7fbfa532bcc178dc86e0516704</t>
        </is>
      </c>
      <c r="K2217">
        <f>HYPERLINK("http://gitlab.osmosys.co/incident-reporter/incident-reporter-angular-portal/-/merge_requests/3476#note_238182", "Fixed")</f>
        <v/>
      </c>
      <c r="L2217" t="inlineStr">
        <is>
          <t>2025-07-17 12:37:10.092 IST</t>
        </is>
      </c>
      <c r="M2217" t="inlineStr">
        <is>
          <t>Dhruv Pahadia</t>
        </is>
      </c>
      <c r="N2217" t="inlineStr">
        <is>
          <t>No</t>
        </is>
      </c>
      <c r="O2217" t="inlineStr">
        <is>
          <t>Yes</t>
        </is>
      </c>
      <c r="P2217" t="inlineStr">
        <is>
          <t>Soundariya B</t>
        </is>
      </c>
      <c r="Q2217" t="inlineStr">
        <is>
          <t>Good</t>
        </is>
      </c>
    </row>
    <row r="2218">
      <c r="A2218" t="inlineStr">
        <is>
          <t>dhruv.p</t>
        </is>
      </c>
      <c r="B2218" t="inlineStr">
        <is>
          <t>Dhruv Pahadia</t>
        </is>
      </c>
      <c r="C2218" t="inlineStr">
        <is>
          <t>dhruv.p@osmosys.co</t>
        </is>
      </c>
      <c r="D2218" t="inlineStr">
        <is>
          <t>incident-reporter</t>
        </is>
      </c>
      <c r="E2218">
        <f>HYPERLINK("http://gitlab.osmosys.co/incident-reporter/incident-reporter-angular-portal", "OQSHA Portal")</f>
        <v/>
      </c>
      <c r="F2218">
        <f>HYPERLINK("http://gitlab.osmosys.co/incident-reporter/incident-reporter-angular-portal/-/merge_requests/3476", "fix: fix moc departments component")</f>
        <v/>
      </c>
      <c r="G2218" t="inlineStr">
        <is>
          <t>fix/moc-controls</t>
        </is>
      </c>
      <c r="H2218" t="inlineStr">
        <is>
          <t>sprint-17</t>
        </is>
      </c>
      <c r="I2218" t="inlineStr">
        <is>
          <t>merged</t>
        </is>
      </c>
      <c r="J2218" t="inlineStr">
        <is>
          <t>cfdb771bdbfec008ff085080a47e4b8ec3d56e19</t>
        </is>
      </c>
      <c r="K2218">
        <f>HYPERLINK("http://gitlab.osmosys.co/incident-reporter/incident-reporter-angular-portal/-/merge_requests/3476#note_238106", "Correct the indentation of this curly brace")</f>
        <v/>
      </c>
      <c r="L2218" t="inlineStr">
        <is>
          <t>2025-07-17 11:35:14.823 IST</t>
        </is>
      </c>
      <c r="M2218" t="inlineStr">
        <is>
          <t>Soundariya B</t>
        </is>
      </c>
      <c r="N2218" t="inlineStr">
        <is>
          <t>Yes</t>
        </is>
      </c>
      <c r="O2218" t="inlineStr">
        <is>
          <t>Yes</t>
        </is>
      </c>
      <c r="P2218" t="inlineStr">
        <is>
          <t>Soundariya B</t>
        </is>
      </c>
      <c r="Q2218" t="inlineStr">
        <is>
          <t>Good</t>
        </is>
      </c>
    </row>
    <row r="2219">
      <c r="A2219" t="inlineStr">
        <is>
          <t>dhruv.p</t>
        </is>
      </c>
      <c r="B2219" t="inlineStr">
        <is>
          <t>Dhruv Pahadia</t>
        </is>
      </c>
      <c r="C2219" t="inlineStr">
        <is>
          <t>dhruv.p@osmosys.co</t>
        </is>
      </c>
      <c r="D2219" t="inlineStr">
        <is>
          <t>incident-reporter</t>
        </is>
      </c>
      <c r="E2219">
        <f>HYPERLINK("http://gitlab.osmosys.co/incident-reporter/incident-reporter-angular-portal", "OQSHA Portal")</f>
        <v/>
      </c>
      <c r="F2219">
        <f>HYPERLINK("http://gitlab.osmosys.co/incident-reporter/incident-reporter-angular-portal/-/merge_requests/3476", "fix: fix moc departments component")</f>
        <v/>
      </c>
      <c r="G2219" t="inlineStr">
        <is>
          <t>fix/moc-controls</t>
        </is>
      </c>
      <c r="H2219" t="inlineStr">
        <is>
          <t>sprint-17</t>
        </is>
      </c>
      <c r="I2219" t="inlineStr">
        <is>
          <t>merged</t>
        </is>
      </c>
      <c r="J2219" t="inlineStr">
        <is>
          <t>cfdb771bdbfec008ff085080a47e4b8ec3d56e19</t>
        </is>
      </c>
      <c r="K2219">
        <f>HYPERLINK("http://gitlab.osmosys.co/incident-reporter/incident-reporter-angular-portal/-/merge_requests/3476#note_238181", "Fixed")</f>
        <v/>
      </c>
      <c r="L2219" t="inlineStr">
        <is>
          <t>2025-07-17 12:37:02.780 IST</t>
        </is>
      </c>
      <c r="M2219" t="inlineStr">
        <is>
          <t>Dhruv Pahadia</t>
        </is>
      </c>
      <c r="N2219" t="inlineStr">
        <is>
          <t>No</t>
        </is>
      </c>
      <c r="O2219" t="inlineStr">
        <is>
          <t>Yes</t>
        </is>
      </c>
      <c r="P2219" t="inlineStr">
        <is>
          <t>Soundariya B</t>
        </is>
      </c>
      <c r="Q2219" t="inlineStr">
        <is>
          <t>Good</t>
        </is>
      </c>
    </row>
    <row r="2220">
      <c r="A2220" t="inlineStr">
        <is>
          <t>dhruv.p</t>
        </is>
      </c>
      <c r="B2220" t="inlineStr">
        <is>
          <t>Dhruv Pahadia</t>
        </is>
      </c>
      <c r="C2220" t="inlineStr">
        <is>
          <t>dhruv.p@osmosys.co</t>
        </is>
      </c>
      <c r="D2220" t="inlineStr">
        <is>
          <t>incident-reporter</t>
        </is>
      </c>
      <c r="E2220">
        <f>HYPERLINK("http://gitlab.osmosys.co/incident-reporter/incident-reporter-angular-portal", "OQSHA Portal")</f>
        <v/>
      </c>
      <c r="F2220">
        <f>HYPERLINK("http://gitlab.osmosys.co/incident-reporter/incident-reporter-angular-portal/-/merge_requests/3460", "fix: fix moc radiobutton in checks")</f>
        <v/>
      </c>
      <c r="G2220" t="inlineStr">
        <is>
          <t>fix/moc-radiobutton</t>
        </is>
      </c>
      <c r="H2220" t="inlineStr">
        <is>
          <t>sprint-16</t>
        </is>
      </c>
      <c r="I2220" t="inlineStr">
        <is>
          <t>merged</t>
        </is>
      </c>
      <c r="J2220" t="inlineStr"/>
      <c r="K2220" t="inlineStr"/>
      <c r="L2220" t="inlineStr"/>
      <c r="M2220" t="inlineStr"/>
      <c r="N2220" t="inlineStr"/>
      <c r="O2220" t="inlineStr"/>
      <c r="P2220" t="inlineStr"/>
      <c r="Q2220" t="inlineStr"/>
    </row>
    <row r="2221">
      <c r="A2221" t="inlineStr">
        <is>
          <t>dhruv.p</t>
        </is>
      </c>
      <c r="B2221" t="inlineStr">
        <is>
          <t>Dhruv Pahadia</t>
        </is>
      </c>
      <c r="C2221" t="inlineStr">
        <is>
          <t>dhruv.p@osmosys.co</t>
        </is>
      </c>
      <c r="D2221" t="inlineStr">
        <is>
          <t>incident-reporter</t>
        </is>
      </c>
      <c r="E2221">
        <f>HYPERLINK("http://gitlab.osmosys.co/incident-reporter/incident-reporter-angular-portal", "OQSHA Portal")</f>
        <v/>
      </c>
      <c r="F2221">
        <f>HYPERLINK("http://gitlab.osmosys.co/incident-reporter/incident-reporter-angular-portal/-/merge_requests/3455", "feat: implement the preconfigurred approver")</f>
        <v/>
      </c>
      <c r="G2221" t="inlineStr">
        <is>
          <t>feat/config-approver</t>
        </is>
      </c>
      <c r="H2221" t="inlineStr">
        <is>
          <t>sprint-17</t>
        </is>
      </c>
      <c r="I2221" t="inlineStr">
        <is>
          <t>merged</t>
        </is>
      </c>
      <c r="J2221" t="inlineStr">
        <is>
          <t>076320b1721a3f59368697bc93baa25270129f09</t>
        </is>
      </c>
      <c r="K2221">
        <f>HYPERLINK("http://gitlab.osmosys.co/incident-reporter/incident-reporter-angular-portal/-/merge_requests/3455#note_237365", "![image.png](/uploads/6a0f93113579cf6d7815fbc9da0d3eee/image.png)")</f>
        <v/>
      </c>
      <c r="L2221" t="inlineStr">
        <is>
          <t>2025-07-16 11:54:01.050 IST</t>
        </is>
      </c>
      <c r="M2221" t="inlineStr">
        <is>
          <t>Soundariya B</t>
        </is>
      </c>
      <c r="N2221" t="inlineStr">
        <is>
          <t>Yes</t>
        </is>
      </c>
      <c r="O2221" t="inlineStr">
        <is>
          <t>Yes</t>
        </is>
      </c>
      <c r="P2221" t="inlineStr">
        <is>
          <t>Soundariya B</t>
        </is>
      </c>
      <c r="Q2221" t="inlineStr">
        <is>
          <t>Bad</t>
        </is>
      </c>
    </row>
    <row r="2222">
      <c r="A2222" t="inlineStr">
        <is>
          <t>dhruv.p</t>
        </is>
      </c>
      <c r="B2222" t="inlineStr">
        <is>
          <t>Dhruv Pahadia</t>
        </is>
      </c>
      <c r="C2222" t="inlineStr">
        <is>
          <t>dhruv.p@osmosys.co</t>
        </is>
      </c>
      <c r="D2222" t="inlineStr">
        <is>
          <t>incident-reporter</t>
        </is>
      </c>
      <c r="E2222">
        <f>HYPERLINK("http://gitlab.osmosys.co/incident-reporter/incident-reporter-angular-portal", "OQSHA Portal")</f>
        <v/>
      </c>
      <c r="F2222">
        <f>HYPERLINK("http://gitlab.osmosys.co/incident-reporter/incident-reporter-angular-portal/-/merge_requests/3455", "feat: implement the preconfigurred approver")</f>
        <v/>
      </c>
      <c r="G2222" t="inlineStr">
        <is>
          <t>feat/config-approver</t>
        </is>
      </c>
      <c r="H2222" t="inlineStr">
        <is>
          <t>sprint-17</t>
        </is>
      </c>
      <c r="I2222" t="inlineStr">
        <is>
          <t>merged</t>
        </is>
      </c>
      <c r="J2222" t="inlineStr">
        <is>
          <t>076320b1721a3f59368697bc93baa25270129f09</t>
        </is>
      </c>
      <c r="K2222">
        <f>HYPERLINK("http://gitlab.osmosys.co/incident-reporter/incident-reporter-angular-portal/-/merge_requests/3455#note_237375", "That data is coming from backend, I am only filling these fields.
Site error is showing after I clicked on it and didn't fill anything.
Why would we need cancel button on an add page(if we do require, then please create a new task for that).
Submit button is aligned correctly according to the rest of the fields
![image](/uploads/7c56f5ca02f6920fc357193ebe93e5ca/image.png)")</f>
        <v/>
      </c>
      <c r="L2222" t="inlineStr">
        <is>
          <t>2025-07-16 12:09:54.933 IST</t>
        </is>
      </c>
      <c r="M2222" t="inlineStr">
        <is>
          <t>Dhruv Pahadia</t>
        </is>
      </c>
      <c r="N2222" t="inlineStr">
        <is>
          <t>No</t>
        </is>
      </c>
      <c r="O2222" t="inlineStr">
        <is>
          <t>Yes</t>
        </is>
      </c>
      <c r="P2222" t="inlineStr">
        <is>
          <t>Soundariya B</t>
        </is>
      </c>
      <c r="Q2222" t="inlineStr">
        <is>
          <t>Bad</t>
        </is>
      </c>
    </row>
    <row r="2223">
      <c r="A2223" t="inlineStr">
        <is>
          <t>dhruv.p</t>
        </is>
      </c>
      <c r="B2223" t="inlineStr">
        <is>
          <t>Dhruv Pahadia</t>
        </is>
      </c>
      <c r="C2223" t="inlineStr">
        <is>
          <t>dhruv.p@osmosys.co</t>
        </is>
      </c>
      <c r="D2223" t="inlineStr">
        <is>
          <t>incident-reporter</t>
        </is>
      </c>
      <c r="E2223">
        <f>HYPERLINK("http://gitlab.osmosys.co/incident-reporter/incident-reporter-angular-portal", "OQSHA Portal")</f>
        <v/>
      </c>
      <c r="F2223">
        <f>HYPERLINK("http://gitlab.osmosys.co/incident-reporter/incident-reporter-angular-portal/-/merge_requests/3455", "feat: implement the preconfigurred approver")</f>
        <v/>
      </c>
      <c r="G2223" t="inlineStr">
        <is>
          <t>feat/config-approver</t>
        </is>
      </c>
      <c r="H2223" t="inlineStr">
        <is>
          <t>sprint-17</t>
        </is>
      </c>
      <c r="I2223" t="inlineStr">
        <is>
          <t>merged</t>
        </is>
      </c>
      <c r="J2223" t="inlineStr">
        <is>
          <t>076320b1721a3f59368697bc93baa25270129f09</t>
        </is>
      </c>
      <c r="K2223">
        <f>HYPERLINK("http://gitlab.osmosys.co/incident-reporter/incident-reporter-angular-portal/-/merge_requests/3455#note_237383", "Removed the '+' from the above rows
![image](/uploads/722f0c1be424fe918be67168727bbbe3/image.png)")</f>
        <v/>
      </c>
      <c r="L2223" t="inlineStr">
        <is>
          <t>2025-07-16 12:21:38.084 IST</t>
        </is>
      </c>
      <c r="M2223" t="inlineStr">
        <is>
          <t>Dhruv Pahadia</t>
        </is>
      </c>
      <c r="N2223" t="inlineStr">
        <is>
          <t>No</t>
        </is>
      </c>
      <c r="O2223" t="inlineStr">
        <is>
          <t>Yes</t>
        </is>
      </c>
      <c r="P2223" t="inlineStr">
        <is>
          <t>Soundariya B</t>
        </is>
      </c>
      <c r="Q2223" t="inlineStr">
        <is>
          <t>Bad</t>
        </is>
      </c>
    </row>
    <row r="2224">
      <c r="A2224" t="inlineStr">
        <is>
          <t>dhruv.p</t>
        </is>
      </c>
      <c r="B2224" t="inlineStr">
        <is>
          <t>Dhruv Pahadia</t>
        </is>
      </c>
      <c r="C2224" t="inlineStr">
        <is>
          <t>dhruv.p@osmosys.co</t>
        </is>
      </c>
      <c r="D2224" t="inlineStr">
        <is>
          <t>incident-reporter</t>
        </is>
      </c>
      <c r="E2224">
        <f>HYPERLINK("http://gitlab.osmosys.co/incident-reporter/incident-reporter-angular-portal", "OQSHA Portal")</f>
        <v/>
      </c>
      <c r="F2224">
        <f>HYPERLINK("http://gitlab.osmosys.co/incident-reporter/incident-reporter-angular-portal/-/merge_requests/3455", "feat: implement the preconfigurred approver")</f>
        <v/>
      </c>
      <c r="G2224" t="inlineStr">
        <is>
          <t>feat/config-approver</t>
        </is>
      </c>
      <c r="H2224" t="inlineStr">
        <is>
          <t>sprint-17</t>
        </is>
      </c>
      <c r="I2224" t="inlineStr">
        <is>
          <t>merged</t>
        </is>
      </c>
      <c r="J2224" t="inlineStr">
        <is>
          <t>076320b1721a3f59368697bc93baa25270129f09</t>
        </is>
      </c>
      <c r="K2224">
        <f>HYPERLINK("http://gitlab.osmosys.co/incident-reporter/incident-reporter-angular-portal/-/merge_requests/3455#note_237402", "For submit button alignment and cancel button point please check this SS for your ref you will understand the issues
![image.png](/uploads/78e100d37f96e2c65b7ecb4566e36f7f/image.png)")</f>
        <v/>
      </c>
      <c r="L2224" t="inlineStr">
        <is>
          <t>2025-07-16 12:46:31.466 IST</t>
        </is>
      </c>
      <c r="M2224" t="inlineStr">
        <is>
          <t>Soundariya B</t>
        </is>
      </c>
      <c r="N2224" t="inlineStr">
        <is>
          <t>Yes</t>
        </is>
      </c>
      <c r="O2224" t="inlineStr">
        <is>
          <t>Yes</t>
        </is>
      </c>
      <c r="P2224" t="inlineStr">
        <is>
          <t>Soundariya B</t>
        </is>
      </c>
      <c r="Q2224" t="inlineStr">
        <is>
          <t>Bad</t>
        </is>
      </c>
    </row>
    <row r="2225">
      <c r="A2225" t="inlineStr">
        <is>
          <t>dhruv.p</t>
        </is>
      </c>
      <c r="B2225" t="inlineStr">
        <is>
          <t>Dhruv Pahadia</t>
        </is>
      </c>
      <c r="C2225" t="inlineStr">
        <is>
          <t>dhruv.p@osmosys.co</t>
        </is>
      </c>
      <c r="D2225" t="inlineStr">
        <is>
          <t>incident-reporter</t>
        </is>
      </c>
      <c r="E2225">
        <f>HYPERLINK("http://gitlab.osmosys.co/incident-reporter/incident-reporter-angular-portal", "OQSHA Portal")</f>
        <v/>
      </c>
      <c r="F2225">
        <f>HYPERLINK("http://gitlab.osmosys.co/incident-reporter/incident-reporter-angular-portal/-/merge_requests/3455", "feat: implement the preconfigurred approver")</f>
        <v/>
      </c>
      <c r="G2225" t="inlineStr">
        <is>
          <t>feat/config-approver</t>
        </is>
      </c>
      <c r="H2225" t="inlineStr">
        <is>
          <t>sprint-17</t>
        </is>
      </c>
      <c r="I2225" t="inlineStr">
        <is>
          <t>merged</t>
        </is>
      </c>
      <c r="J2225" t="inlineStr">
        <is>
          <t>076320b1721a3f59368697bc93baa25270129f09</t>
        </is>
      </c>
      <c r="K2225">
        <f>HYPERLINK("http://gitlab.osmosys.co/incident-reporter/incident-reporter-angular-portal/-/merge_requests/3455#note_237592", "Fixed
![image](/uploads/f5fb92509483a385c2d07dc6e3b5e860/image.png)")</f>
        <v/>
      </c>
      <c r="L2225" t="inlineStr">
        <is>
          <t>2025-07-16 15:26:57.864 IST</t>
        </is>
      </c>
      <c r="M2225" t="inlineStr">
        <is>
          <t>Dhruv Pahadia</t>
        </is>
      </c>
      <c r="N2225" t="inlineStr">
        <is>
          <t>No</t>
        </is>
      </c>
      <c r="O2225" t="inlineStr">
        <is>
          <t>Yes</t>
        </is>
      </c>
      <c r="P2225" t="inlineStr">
        <is>
          <t>Soundariya B</t>
        </is>
      </c>
      <c r="Q2225" t="inlineStr">
        <is>
          <t>Bad</t>
        </is>
      </c>
    </row>
    <row r="2226">
      <c r="A2226" t="inlineStr">
        <is>
          <t>dhruv.p</t>
        </is>
      </c>
      <c r="B2226" t="inlineStr">
        <is>
          <t>Dhruv Pahadia</t>
        </is>
      </c>
      <c r="C2226" t="inlineStr">
        <is>
          <t>dhruv.p@osmosys.co</t>
        </is>
      </c>
      <c r="D2226" t="inlineStr">
        <is>
          <t>incident-reporter</t>
        </is>
      </c>
      <c r="E2226">
        <f>HYPERLINK("http://gitlab.osmosys.co/incident-reporter/incident-reporter-angular-portal", "OQSHA Portal")</f>
        <v/>
      </c>
      <c r="F2226">
        <f>HYPERLINK("http://gitlab.osmosys.co/incident-reporter/incident-reporter-angular-portal/-/merge_requests/3455", "feat: implement the preconfigurred approver")</f>
        <v/>
      </c>
      <c r="G2226" t="inlineStr">
        <is>
          <t>feat/config-approver</t>
        </is>
      </c>
      <c r="H2226" t="inlineStr">
        <is>
          <t>sprint-17</t>
        </is>
      </c>
      <c r="I2226" t="inlineStr">
        <is>
          <t>merged</t>
        </is>
      </c>
      <c r="J2226" t="inlineStr">
        <is>
          <t>62e2a808247eb383b8c7f6113583c6c87cc0ba6d</t>
        </is>
      </c>
      <c r="K2226">
        <f>HYPERLINK("http://gitlab.osmosys.co/incident-reporter/incident-reporter-angular-portal/-/merge_requests/3455#note_237366", "Rename this disableApproveDeleteMap - It is not make sense")</f>
        <v/>
      </c>
      <c r="L2226" t="inlineStr">
        <is>
          <t>2025-07-16 11:54:01.133 IST</t>
        </is>
      </c>
      <c r="M2226" t="inlineStr">
        <is>
          <t>Soundariya B</t>
        </is>
      </c>
      <c r="N2226" t="inlineStr">
        <is>
          <t>Yes</t>
        </is>
      </c>
      <c r="O2226" t="inlineStr">
        <is>
          <t>Yes</t>
        </is>
      </c>
      <c r="P2226" t="inlineStr">
        <is>
          <t>Soundariya B</t>
        </is>
      </c>
      <c r="Q2226" t="inlineStr">
        <is>
          <t>Bad</t>
        </is>
      </c>
    </row>
    <row r="2227">
      <c r="A2227" t="inlineStr">
        <is>
          <t>dhruv.p</t>
        </is>
      </c>
      <c r="B2227" t="inlineStr">
        <is>
          <t>Dhruv Pahadia</t>
        </is>
      </c>
      <c r="C2227" t="inlineStr">
        <is>
          <t>dhruv.p@osmosys.co</t>
        </is>
      </c>
      <c r="D2227" t="inlineStr">
        <is>
          <t>incident-reporter</t>
        </is>
      </c>
      <c r="E2227">
        <f>HYPERLINK("http://gitlab.osmosys.co/incident-reporter/incident-reporter-angular-portal", "OQSHA Portal")</f>
        <v/>
      </c>
      <c r="F2227">
        <f>HYPERLINK("http://gitlab.osmosys.co/incident-reporter/incident-reporter-angular-portal/-/merge_requests/3455", "feat: implement the preconfigurred approver")</f>
        <v/>
      </c>
      <c r="G2227" t="inlineStr">
        <is>
          <t>feat/config-approver</t>
        </is>
      </c>
      <c r="H2227" t="inlineStr">
        <is>
          <t>sprint-17</t>
        </is>
      </c>
      <c r="I2227" t="inlineStr">
        <is>
          <t>merged</t>
        </is>
      </c>
      <c r="J2227" t="inlineStr">
        <is>
          <t>62e2a808247eb383b8c7f6113583c6c87cc0ba6d</t>
        </is>
      </c>
      <c r="K2227">
        <f>HYPERLINK("http://gitlab.osmosys.co/incident-reporter/incident-reporter-angular-portal/-/merge_requests/3455#note_237379", "Fixed, named it 'preferredApproverMap' implying that if true, approver is preferred")</f>
        <v/>
      </c>
      <c r="L2227" t="inlineStr">
        <is>
          <t>2025-07-16 12:13:01.144 IST</t>
        </is>
      </c>
      <c r="M2227" t="inlineStr">
        <is>
          <t>Dhruv Pahadia</t>
        </is>
      </c>
      <c r="N2227" t="inlineStr">
        <is>
          <t>No</t>
        </is>
      </c>
      <c r="O2227" t="inlineStr">
        <is>
          <t>Yes</t>
        </is>
      </c>
      <c r="P2227" t="inlineStr">
        <is>
          <t>Soundariya B</t>
        </is>
      </c>
      <c r="Q2227" t="inlineStr">
        <is>
          <t>Bad</t>
        </is>
      </c>
    </row>
    <row r="2228">
      <c r="A2228" t="inlineStr">
        <is>
          <t>dhruv.p</t>
        </is>
      </c>
      <c r="B2228" t="inlineStr">
        <is>
          <t>Dhruv Pahadia</t>
        </is>
      </c>
      <c r="C2228" t="inlineStr">
        <is>
          <t>dhruv.p@osmosys.co</t>
        </is>
      </c>
      <c r="D2228" t="inlineStr">
        <is>
          <t>incident-reporter</t>
        </is>
      </c>
      <c r="E2228">
        <f>HYPERLINK("http://gitlab.osmosys.co/incident-reporter/incident-reporter-angular-portal", "OQSHA Portal")</f>
        <v/>
      </c>
      <c r="F2228">
        <f>HYPERLINK("http://gitlab.osmosys.co/incident-reporter/incident-reporter-angular-portal/-/merge_requests/3455", "feat: implement the preconfigurred approver")</f>
        <v/>
      </c>
      <c r="G2228" t="inlineStr">
        <is>
          <t>feat/config-approver</t>
        </is>
      </c>
      <c r="H2228" t="inlineStr">
        <is>
          <t>sprint-17</t>
        </is>
      </c>
      <c r="I2228" t="inlineStr">
        <is>
          <t>merged</t>
        </is>
      </c>
      <c r="J2228" t="inlineStr">
        <is>
          <t>7fbcdd5769c7e3db39fdf25f56e5f281d6144faf</t>
        </is>
      </c>
      <c r="K2228">
        <f>HYPERLINK("http://gitlab.osmosys.co/incident-reporter/incident-reporter-angular-portal/-/merge_requests/3455#note_237367", "Use block structure")</f>
        <v/>
      </c>
      <c r="L2228" t="inlineStr">
        <is>
          <t>2025-07-16 11:54:01.222 IST</t>
        </is>
      </c>
      <c r="M2228" t="inlineStr">
        <is>
          <t>Soundariya B</t>
        </is>
      </c>
      <c r="N2228" t="inlineStr">
        <is>
          <t>Yes</t>
        </is>
      </c>
      <c r="O2228" t="inlineStr">
        <is>
          <t>Yes</t>
        </is>
      </c>
      <c r="P2228" t="inlineStr">
        <is>
          <t>Soundariya B</t>
        </is>
      </c>
      <c r="Q2228" t="inlineStr">
        <is>
          <t>Bad</t>
        </is>
      </c>
    </row>
    <row r="2229">
      <c r="A2229" t="inlineStr">
        <is>
          <t>dhruv.p</t>
        </is>
      </c>
      <c r="B2229" t="inlineStr">
        <is>
          <t>Dhruv Pahadia</t>
        </is>
      </c>
      <c r="C2229" t="inlineStr">
        <is>
          <t>dhruv.p@osmosys.co</t>
        </is>
      </c>
      <c r="D2229" t="inlineStr">
        <is>
          <t>incident-reporter</t>
        </is>
      </c>
      <c r="E2229">
        <f>HYPERLINK("http://gitlab.osmosys.co/incident-reporter/incident-reporter-angular-portal", "OQSHA Portal")</f>
        <v/>
      </c>
      <c r="F2229">
        <f>HYPERLINK("http://gitlab.osmosys.co/incident-reporter/incident-reporter-angular-portal/-/merge_requests/3455", "feat: implement the preconfigurred approver")</f>
        <v/>
      </c>
      <c r="G2229" t="inlineStr">
        <is>
          <t>feat/config-approver</t>
        </is>
      </c>
      <c r="H2229" t="inlineStr">
        <is>
          <t>sprint-17</t>
        </is>
      </c>
      <c r="I2229" t="inlineStr">
        <is>
          <t>merged</t>
        </is>
      </c>
      <c r="J2229" t="inlineStr">
        <is>
          <t>7fbcdd5769c7e3db39fdf25f56e5f281d6144faf</t>
        </is>
      </c>
      <c r="K2229">
        <f>HYPERLINK("http://gitlab.osmosys.co/incident-reporter/incident-reporter-angular-portal/-/merge_requests/3455#note_237381", "Fixed")</f>
        <v/>
      </c>
      <c r="L2229" t="inlineStr">
        <is>
          <t>2025-07-16 12:14:44.066 IST</t>
        </is>
      </c>
      <c r="M2229" t="inlineStr">
        <is>
          <t>Dhruv Pahadia</t>
        </is>
      </c>
      <c r="N2229" t="inlineStr">
        <is>
          <t>No</t>
        </is>
      </c>
      <c r="O2229" t="inlineStr">
        <is>
          <t>Yes</t>
        </is>
      </c>
      <c r="P2229" t="inlineStr">
        <is>
          <t>Soundariya B</t>
        </is>
      </c>
      <c r="Q2229" t="inlineStr">
        <is>
          <t>Bad</t>
        </is>
      </c>
    </row>
    <row r="2230">
      <c r="A2230" t="inlineStr">
        <is>
          <t>dhruv.p</t>
        </is>
      </c>
      <c r="B2230" t="inlineStr">
        <is>
          <t>Dhruv Pahadia</t>
        </is>
      </c>
      <c r="C2230" t="inlineStr">
        <is>
          <t>dhruv.p@osmosys.co</t>
        </is>
      </c>
      <c r="D2230" t="inlineStr">
        <is>
          <t>incident-reporter</t>
        </is>
      </c>
      <c r="E2230">
        <f>HYPERLINK("http://gitlab.osmosys.co/incident-reporter/incident-reporter-angular-portal", "OQSHA Portal")</f>
        <v/>
      </c>
      <c r="F2230">
        <f>HYPERLINK("http://gitlab.osmosys.co/incident-reporter/incident-reporter-angular-portal/-/merge_requests/3455", "feat: implement the preconfigurred approver")</f>
        <v/>
      </c>
      <c r="G2230" t="inlineStr">
        <is>
          <t>feat/config-approver</t>
        </is>
      </c>
      <c r="H2230" t="inlineStr">
        <is>
          <t>sprint-17</t>
        </is>
      </c>
      <c r="I2230" t="inlineStr">
        <is>
          <t>merged</t>
        </is>
      </c>
      <c r="J2230" t="inlineStr">
        <is>
          <t>e69bf4803b5aa6e3840212c10801c535fa8f58ed</t>
        </is>
      </c>
      <c r="K2230">
        <f>HYPERLINK("http://gitlab.osmosys.co/incident-reporter/incident-reporter-angular-portal/-/merge_requests/3455#note_237368", "Use block structure")</f>
        <v/>
      </c>
      <c r="L2230" t="inlineStr">
        <is>
          <t>2025-07-16 11:54:01.274 IST</t>
        </is>
      </c>
      <c r="M2230" t="inlineStr">
        <is>
          <t>Soundariya B</t>
        </is>
      </c>
      <c r="N2230" t="inlineStr">
        <is>
          <t>Yes</t>
        </is>
      </c>
      <c r="O2230" t="inlineStr">
        <is>
          <t>Yes</t>
        </is>
      </c>
      <c r="P2230" t="inlineStr">
        <is>
          <t>Soundariya B</t>
        </is>
      </c>
      <c r="Q2230" t="inlineStr">
        <is>
          <t>Bad</t>
        </is>
      </c>
    </row>
    <row r="2231">
      <c r="A2231" t="inlineStr">
        <is>
          <t>dhruv.p</t>
        </is>
      </c>
      <c r="B2231" t="inlineStr">
        <is>
          <t>Dhruv Pahadia</t>
        </is>
      </c>
      <c r="C2231" t="inlineStr">
        <is>
          <t>dhruv.p@osmosys.co</t>
        </is>
      </c>
      <c r="D2231" t="inlineStr">
        <is>
          <t>incident-reporter</t>
        </is>
      </c>
      <c r="E2231">
        <f>HYPERLINK("http://gitlab.osmosys.co/incident-reporter/incident-reporter-angular-portal", "OQSHA Portal")</f>
        <v/>
      </c>
      <c r="F2231">
        <f>HYPERLINK("http://gitlab.osmosys.co/incident-reporter/incident-reporter-angular-portal/-/merge_requests/3455", "feat: implement the preconfigurred approver")</f>
        <v/>
      </c>
      <c r="G2231" t="inlineStr">
        <is>
          <t>feat/config-approver</t>
        </is>
      </c>
      <c r="H2231" t="inlineStr">
        <is>
          <t>sprint-17</t>
        </is>
      </c>
      <c r="I2231" t="inlineStr">
        <is>
          <t>merged</t>
        </is>
      </c>
      <c r="J2231" t="inlineStr">
        <is>
          <t>e69bf4803b5aa6e3840212c10801c535fa8f58ed</t>
        </is>
      </c>
      <c r="K2231">
        <f>HYPERLINK("http://gitlab.osmosys.co/incident-reporter/incident-reporter-angular-portal/-/merge_requests/3455#note_237380", "Fixed")</f>
        <v/>
      </c>
      <c r="L2231" t="inlineStr">
        <is>
          <t>2025-07-16 12:14:39.450 IST</t>
        </is>
      </c>
      <c r="M2231" t="inlineStr">
        <is>
          <t>Dhruv Pahadia</t>
        </is>
      </c>
      <c r="N2231" t="inlineStr">
        <is>
          <t>No</t>
        </is>
      </c>
      <c r="O2231" t="inlineStr">
        <is>
          <t>Yes</t>
        </is>
      </c>
      <c r="P2231" t="inlineStr">
        <is>
          <t>Soundariya B</t>
        </is>
      </c>
      <c r="Q2231" t="inlineStr">
        <is>
          <t>Bad</t>
        </is>
      </c>
    </row>
    <row r="2232">
      <c r="A2232" t="inlineStr">
        <is>
          <t>dhruv.p</t>
        </is>
      </c>
      <c r="B2232" t="inlineStr">
        <is>
          <t>Dhruv Pahadia</t>
        </is>
      </c>
      <c r="C2232" t="inlineStr">
        <is>
          <t>dhruv.p@osmosys.co</t>
        </is>
      </c>
      <c r="D2232" t="inlineStr">
        <is>
          <t>incident-reporter</t>
        </is>
      </c>
      <c r="E2232">
        <f>HYPERLINK("http://gitlab.osmosys.co/incident-reporter/incident-reporter-app", "OQSHA Mobile App")</f>
        <v/>
      </c>
      <c r="F2232">
        <f>HYPERLINK("http://gitlab.osmosys.co/incident-reporter/incident-reporter-app/-/merge_requests/1863", "feat: ptw inspection association")</f>
        <v/>
      </c>
      <c r="G2232" t="inlineStr">
        <is>
          <t>feat/ptw-inspections-association</t>
        </is>
      </c>
      <c r="H2232" t="inlineStr">
        <is>
          <t>sprint-19</t>
        </is>
      </c>
      <c r="I2232" t="inlineStr">
        <is>
          <t>merged</t>
        </is>
      </c>
      <c r="J2232" t="inlineStr"/>
      <c r="K2232" t="inlineStr"/>
      <c r="L2232" t="inlineStr"/>
      <c r="M2232" t="inlineStr"/>
      <c r="N2232" t="inlineStr"/>
      <c r="O2232" t="inlineStr"/>
      <c r="P2232" t="inlineStr"/>
      <c r="Q2232" t="inlineStr"/>
    </row>
    <row r="2233">
      <c r="A2233" t="inlineStr">
        <is>
          <t>dhruv.p</t>
        </is>
      </c>
      <c r="B2233" t="inlineStr">
        <is>
          <t>Dhruv Pahadia</t>
        </is>
      </c>
      <c r="C2233" t="inlineStr">
        <is>
          <t>dhruv.p@osmosys.co</t>
        </is>
      </c>
      <c r="D2233" t="inlineStr">
        <is>
          <t>incident-reporter</t>
        </is>
      </c>
      <c r="E2233">
        <f>HYPERLINK("http://gitlab.osmosys.co/incident-reporter/incident-reporter-app", "OQSHA Mobile App")</f>
        <v/>
      </c>
      <c r="F2233">
        <f>HYPERLINK("http://gitlab.osmosys.co/incident-reporter/incident-reporter-app/-/merge_requests/1852", "fix: qr code route no being accepted")</f>
        <v/>
      </c>
      <c r="G2233" t="inlineStr">
        <is>
          <t>fix/pwa-route</t>
        </is>
      </c>
      <c r="H2233" t="inlineStr">
        <is>
          <t>sprint-18</t>
        </is>
      </c>
      <c r="I2233" t="inlineStr">
        <is>
          <t>opened</t>
        </is>
      </c>
      <c r="J2233" t="inlineStr">
        <is>
          <t>794d8c84fd787bbbe96df39990031bc2ccd0739e</t>
        </is>
      </c>
      <c r="K2233">
        <f>HYPERLINK("http://gitlab.osmosys.co/incident-reporter/incident-reporter-app/-/merge_requests/1852#note_245424", "No test cases attached
No screen shot or recording attached
Ticket the checklist which are not attached like test case file")</f>
        <v/>
      </c>
      <c r="L2233" t="inlineStr">
        <is>
          <t>2025-08-01 14:49:38.762 IST</t>
        </is>
      </c>
      <c r="M2233" t="inlineStr">
        <is>
          <t>Soundariya B</t>
        </is>
      </c>
      <c r="N2233" t="inlineStr">
        <is>
          <t>Yes</t>
        </is>
      </c>
      <c r="O2233" t="inlineStr">
        <is>
          <t>No</t>
        </is>
      </c>
      <c r="P2233" t="inlineStr"/>
      <c r="Q2233" t="inlineStr">
        <is>
          <t>Bad</t>
        </is>
      </c>
    </row>
    <row r="2234">
      <c r="A2234" t="inlineStr">
        <is>
          <t>dhruv.p</t>
        </is>
      </c>
      <c r="B2234" t="inlineStr">
        <is>
          <t>Dhruv Pahadia</t>
        </is>
      </c>
      <c r="C2234" t="inlineStr">
        <is>
          <t>dhruv.p@osmosys.co</t>
        </is>
      </c>
      <c r="D2234" t="inlineStr">
        <is>
          <t>incident-reporter</t>
        </is>
      </c>
      <c r="E2234">
        <f>HYPERLINK("http://gitlab.osmosys.co/incident-reporter/incident-reporter-app", "OQSHA Mobile App")</f>
        <v/>
      </c>
      <c r="F2234">
        <f>HYPERLINK("http://gitlab.osmosys.co/incident-reporter/incident-reporter-app/-/merge_requests/1852", "fix: qr code route no being accepted")</f>
        <v/>
      </c>
      <c r="G2234" t="inlineStr">
        <is>
          <t>fix/pwa-route</t>
        </is>
      </c>
      <c r="H2234" t="inlineStr">
        <is>
          <t>sprint-18</t>
        </is>
      </c>
      <c r="I2234" t="inlineStr">
        <is>
          <t>opened</t>
        </is>
      </c>
      <c r="J2234" t="inlineStr">
        <is>
          <t>185dc4d74bd41b61ba4f9ab452076d9f14ebb80f</t>
        </is>
      </c>
      <c r="K2234">
        <f>HYPERLINK("http://gitlab.osmosys.co/incident-reporter/incident-reporter-app/-/merge_requests/1852#note_245425", "PR title is not good and not start with action word and also has spell mistake")</f>
        <v/>
      </c>
      <c r="L2234" t="inlineStr">
        <is>
          <t>2025-08-01 14:49:38.791 IST</t>
        </is>
      </c>
      <c r="M2234" t="inlineStr">
        <is>
          <t>Soundariya B</t>
        </is>
      </c>
      <c r="N2234" t="inlineStr">
        <is>
          <t>Yes</t>
        </is>
      </c>
      <c r="O2234" t="inlineStr">
        <is>
          <t>No</t>
        </is>
      </c>
      <c r="P2234" t="inlineStr"/>
      <c r="Q2234" t="inlineStr">
        <is>
          <t>Bad</t>
        </is>
      </c>
    </row>
    <row r="2235">
      <c r="A2235" t="inlineStr">
        <is>
          <t>dhruv.p</t>
        </is>
      </c>
      <c r="B2235" t="inlineStr">
        <is>
          <t>Dhruv Pahadia</t>
        </is>
      </c>
      <c r="C2235" t="inlineStr">
        <is>
          <t>dhruv.p@osmosys.co</t>
        </is>
      </c>
      <c r="D2235" t="inlineStr">
        <is>
          <t>incident-reporter</t>
        </is>
      </c>
      <c r="E2235">
        <f>HYPERLINK("http://gitlab.osmosys.co/incident-reporter/incident-reporter-app", "OQSHA Mobile App")</f>
        <v/>
      </c>
      <c r="F2235">
        <f>HYPERLINK("http://gitlab.osmosys.co/incident-reporter/incident-reporter-app/-/merge_requests/1852", "fix: qr code route no being accepted")</f>
        <v/>
      </c>
      <c r="G2235" t="inlineStr">
        <is>
          <t>fix/pwa-route</t>
        </is>
      </c>
      <c r="H2235" t="inlineStr">
        <is>
          <t>sprint-18</t>
        </is>
      </c>
      <c r="I2235" t="inlineStr">
        <is>
          <t>opened</t>
        </is>
      </c>
      <c r="J2235" t="inlineStr">
        <is>
          <t>dcff4965551c7d179ebb9e6fbb67eb0e2f5f2901</t>
        </is>
      </c>
      <c r="K2235">
        <f>HYPERLINK("http://gitlab.osmosys.co/incident-reporter/incident-reporter-app/-/merge_requests/1852#note_245426", "Get the platform type from the constant file which  already have it as const variable")</f>
        <v/>
      </c>
      <c r="L2235" t="inlineStr">
        <is>
          <t>2025-08-01 14:49:38.857 IST</t>
        </is>
      </c>
      <c r="M2235" t="inlineStr">
        <is>
          <t>Soundariya B</t>
        </is>
      </c>
      <c r="N2235" t="inlineStr">
        <is>
          <t>Yes</t>
        </is>
      </c>
      <c r="O2235" t="inlineStr">
        <is>
          <t>No</t>
        </is>
      </c>
      <c r="P2235" t="inlineStr"/>
      <c r="Q2235" t="inlineStr">
        <is>
          <t>Bad</t>
        </is>
      </c>
    </row>
    <row r="2236">
      <c r="A2236" t="inlineStr">
        <is>
          <t>dhruv.p</t>
        </is>
      </c>
      <c r="B2236" t="inlineStr">
        <is>
          <t>Dhruv Pahadia</t>
        </is>
      </c>
      <c r="C2236" t="inlineStr">
        <is>
          <t>dhruv.p@osmosys.co</t>
        </is>
      </c>
      <c r="D2236" t="inlineStr">
        <is>
          <t>incident-reporter</t>
        </is>
      </c>
      <c r="E2236">
        <f>HYPERLINK("http://gitlab.osmosys.co/incident-reporter/incident-reporter-app", "OQSHA Mobile App")</f>
        <v/>
      </c>
      <c r="F2236">
        <f>HYPERLINK("http://gitlab.osmosys.co/incident-reporter/incident-reporter-app/-/merge_requests/1852", "fix: qr code route no being accepted")</f>
        <v/>
      </c>
      <c r="G2236" t="inlineStr">
        <is>
          <t>fix/pwa-route</t>
        </is>
      </c>
      <c r="H2236" t="inlineStr">
        <is>
          <t>sprint-18</t>
        </is>
      </c>
      <c r="I2236" t="inlineStr">
        <is>
          <t>opened</t>
        </is>
      </c>
      <c r="J2236" t="inlineStr">
        <is>
          <t>5a60fe86d553c16fa05675446960f6e1eab2f393</t>
        </is>
      </c>
      <c r="K2236">
        <f>HYPERLINK("http://gitlab.osmosys.co/incident-reporter/incident-reporter-app/-/merge_requests/1852#note_245427", "Can't we avoid this 'any' data type from here?")</f>
        <v/>
      </c>
      <c r="L2236" t="inlineStr">
        <is>
          <t>2025-08-01 14:49:38.914 IST</t>
        </is>
      </c>
      <c r="M2236" t="inlineStr">
        <is>
          <t>Soundariya B</t>
        </is>
      </c>
      <c r="N2236" t="inlineStr">
        <is>
          <t>Yes</t>
        </is>
      </c>
      <c r="O2236" t="inlineStr">
        <is>
          <t>No</t>
        </is>
      </c>
      <c r="P2236" t="inlineStr"/>
      <c r="Q2236" t="inlineStr">
        <is>
          <t>Bad</t>
        </is>
      </c>
    </row>
    <row r="2237">
      <c r="A2237" t="inlineStr">
        <is>
          <t>dhruv.p</t>
        </is>
      </c>
      <c r="B2237" t="inlineStr">
        <is>
          <t>Dhruv Pahadia</t>
        </is>
      </c>
      <c r="C2237" t="inlineStr">
        <is>
          <t>dhruv.p@osmosys.co</t>
        </is>
      </c>
      <c r="D2237" t="inlineStr">
        <is>
          <t>incident-reporter</t>
        </is>
      </c>
      <c r="E2237">
        <f>HYPERLINK("http://gitlab.osmosys.co/incident-reporter/incident-reporter-app", "OQSHA Mobile App")</f>
        <v/>
      </c>
      <c r="F2237">
        <f>HYPERLINK("http://gitlab.osmosys.co/incident-reporter/incident-reporter-app/-/merge_requests/1852", "fix: qr code route no being accepted")</f>
        <v/>
      </c>
      <c r="G2237" t="inlineStr">
        <is>
          <t>fix/pwa-route</t>
        </is>
      </c>
      <c r="H2237" t="inlineStr">
        <is>
          <t>sprint-18</t>
        </is>
      </c>
      <c r="I2237" t="inlineStr">
        <is>
          <t>opened</t>
        </is>
      </c>
      <c r="J2237" t="inlineStr">
        <is>
          <t>57c65751d4f24f70f623c91cb483d5616220689c</t>
        </is>
      </c>
      <c r="K2237">
        <f>HYPERLINK("http://gitlab.osmosys.co/incident-reporter/incident-reporter-app/-/merge_requests/1852#note_245428", "Keep the OR expression in brackets which will be clear and execute smoothly")</f>
        <v/>
      </c>
      <c r="L2237" t="inlineStr">
        <is>
          <t>2025-08-01 14:49:38.967 IST</t>
        </is>
      </c>
      <c r="M2237" t="inlineStr">
        <is>
          <t>Soundariya B</t>
        </is>
      </c>
      <c r="N2237" t="inlineStr">
        <is>
          <t>Yes</t>
        </is>
      </c>
      <c r="O2237" t="inlineStr">
        <is>
          <t>No</t>
        </is>
      </c>
      <c r="P2237" t="inlineStr"/>
      <c r="Q2237" t="inlineStr">
        <is>
          <t>Bad</t>
        </is>
      </c>
    </row>
    <row r="2238">
      <c r="A2238" t="inlineStr">
        <is>
          <t>dhruv.p</t>
        </is>
      </c>
      <c r="B2238" t="inlineStr">
        <is>
          <t>Dhruv Pahadia</t>
        </is>
      </c>
      <c r="C2238" t="inlineStr">
        <is>
          <t>dhruv.p@osmosys.co</t>
        </is>
      </c>
      <c r="D2238" t="inlineStr">
        <is>
          <t>incident-reporter</t>
        </is>
      </c>
      <c r="E2238">
        <f>HYPERLINK("http://gitlab.osmosys.co/incident-reporter/incident-reporter-app", "OQSHA Mobile App")</f>
        <v/>
      </c>
      <c r="F2238">
        <f>HYPERLINK("http://gitlab.osmosys.co/incident-reporter/incident-reporter-app/-/merge_requests/1852", "fix: qr code route no being accepted")</f>
        <v/>
      </c>
      <c r="G2238" t="inlineStr">
        <is>
          <t>fix/pwa-route</t>
        </is>
      </c>
      <c r="H2238" t="inlineStr">
        <is>
          <t>sprint-18</t>
        </is>
      </c>
      <c r="I2238" t="inlineStr">
        <is>
          <t>opened</t>
        </is>
      </c>
      <c r="J2238" t="inlineStr">
        <is>
          <t>9536fb2b5b4941c4b972d5218311f9cd48da5dd5</t>
        </is>
      </c>
      <c r="K2238">
        <f>HYPERLINK("http://gitlab.osmosys.co/incident-reporter/incident-reporter-app/-/merge_requests/1852#note_245431", "Please attach the all possible case of qr code scan and redirection as we have many redirections for nothing should break because of hash tag")</f>
        <v/>
      </c>
      <c r="L2238" t="inlineStr">
        <is>
          <t>2025-08-01 14:50:26.806 IST</t>
        </is>
      </c>
      <c r="M2238" t="inlineStr">
        <is>
          <t>Soundariya B</t>
        </is>
      </c>
      <c r="N2238" t="inlineStr">
        <is>
          <t>Yes</t>
        </is>
      </c>
      <c r="O2238" t="inlineStr">
        <is>
          <t>No</t>
        </is>
      </c>
      <c r="P2238" t="inlineStr"/>
      <c r="Q2238" t="inlineStr">
        <is>
          <t>Bad</t>
        </is>
      </c>
    </row>
    <row r="2239">
      <c r="A2239" t="inlineStr">
        <is>
          <t>dhruv.p</t>
        </is>
      </c>
      <c r="B2239" t="inlineStr">
        <is>
          <t>Dhruv Pahadia</t>
        </is>
      </c>
      <c r="C2239" t="inlineStr">
        <is>
          <t>dhruv.p@osmosys.co</t>
        </is>
      </c>
      <c r="D2239" t="inlineStr">
        <is>
          <t>incident-reporter</t>
        </is>
      </c>
      <c r="E2239">
        <f>HYPERLINK("http://gitlab.osmosys.co/incident-reporter/incident-reporter-app", "OQSHA Mobile App")</f>
        <v/>
      </c>
      <c r="F2239">
        <f>HYPERLINK("http://gitlab.osmosys.co/incident-reporter/incident-reporter-app/-/merge_requests/1847", "fix: fix ptw active count")</f>
        <v/>
      </c>
      <c r="G2239" t="inlineStr">
        <is>
          <t>fix/ptw-active-count</t>
        </is>
      </c>
      <c r="H2239" t="inlineStr">
        <is>
          <t>sprint-18</t>
        </is>
      </c>
      <c r="I2239" t="inlineStr">
        <is>
          <t>merged</t>
        </is>
      </c>
      <c r="J2239" t="inlineStr"/>
      <c r="K2239" t="inlineStr"/>
      <c r="L2239" t="inlineStr"/>
      <c r="M2239" t="inlineStr"/>
      <c r="N2239" t="inlineStr"/>
      <c r="O2239" t="inlineStr"/>
      <c r="P2239" t="inlineStr"/>
      <c r="Q2239" t="inlineStr"/>
    </row>
    <row r="2240">
      <c r="A2240" t="inlineStr">
        <is>
          <t>dhruv.p</t>
        </is>
      </c>
      <c r="B2240" t="inlineStr">
        <is>
          <t>Dhruv Pahadia</t>
        </is>
      </c>
      <c r="C2240" t="inlineStr">
        <is>
          <t>dhruv.p@osmosys.co</t>
        </is>
      </c>
      <c r="D2240" t="inlineStr">
        <is>
          <t>incident-reporter</t>
        </is>
      </c>
      <c r="E2240">
        <f>HYPERLINK("http://gitlab.osmosys.co/incident-reporter/incident-reporter-app", "OQSHA Mobile App")</f>
        <v/>
      </c>
      <c r="F2240">
        <f>HYPERLINK("http://gitlab.osmosys.co/incident-reporter/incident-reporter-app/-/merge_requests/1844", "fix: attendance geo-fence issues")</f>
        <v/>
      </c>
      <c r="G2240" t="inlineStr">
        <is>
          <t>fix/geo-fence-attendance</t>
        </is>
      </c>
      <c r="H2240" t="inlineStr">
        <is>
          <t>sprint-18</t>
        </is>
      </c>
      <c r="I2240" t="inlineStr">
        <is>
          <t>opened</t>
        </is>
      </c>
      <c r="J2240" t="inlineStr">
        <is>
          <t>dec3c25440462133175526e78cd14606c739ffb1</t>
        </is>
      </c>
      <c r="K2240">
        <f>HYPERLINK("http://gitlab.osmosys.co/incident-reporter/incident-reporter-app/-/merge_requests/1844#note_244013", "For this kind of bug the screen recording from browser local host not acceptable because sometime in real device it behaves differently so that this bug is keep on repeating and fixing as per the previous comments I check so please add the screen recording from real device and show in that for logout and login both with geofencing feature which should behave same as this is the main bug - 'Its Sometimes on and sometimes off resulting in unpredictable behaviour for same site'")</f>
        <v/>
      </c>
      <c r="L2240" t="inlineStr">
        <is>
          <t>2025-07-29 21:06:46.338 IST</t>
        </is>
      </c>
      <c r="M2240" t="inlineStr">
        <is>
          <t>Soundariya B</t>
        </is>
      </c>
      <c r="N2240" t="inlineStr">
        <is>
          <t>Yes</t>
        </is>
      </c>
      <c r="O2240" t="inlineStr">
        <is>
          <t>No</t>
        </is>
      </c>
      <c r="P2240" t="inlineStr"/>
      <c r="Q2240" t="inlineStr">
        <is>
          <t>Bad</t>
        </is>
      </c>
    </row>
    <row r="2241">
      <c r="A2241" t="inlineStr">
        <is>
          <t>dhruv.p</t>
        </is>
      </c>
      <c r="B2241" t="inlineStr">
        <is>
          <t>Dhruv Pahadia</t>
        </is>
      </c>
      <c r="C2241" t="inlineStr">
        <is>
          <t>dhruv.p@osmosys.co</t>
        </is>
      </c>
      <c r="D2241" t="inlineStr">
        <is>
          <t>incident-reporter</t>
        </is>
      </c>
      <c r="E2241">
        <f>HYPERLINK("http://gitlab.osmosys.co/incident-reporter/incident-reporter-app", "OQSHA Mobile App")</f>
        <v/>
      </c>
      <c r="F2241">
        <f>HYPERLINK("http://gitlab.osmosys.co/incident-reporter/incident-reporter-app/-/merge_requests/1844", "fix: attendance geo-fence issues")</f>
        <v/>
      </c>
      <c r="G2241" t="inlineStr">
        <is>
          <t>fix/geo-fence-attendance</t>
        </is>
      </c>
      <c r="H2241" t="inlineStr">
        <is>
          <t>sprint-18</t>
        </is>
      </c>
      <c r="I2241" t="inlineStr">
        <is>
          <t>opened</t>
        </is>
      </c>
      <c r="J2241" t="inlineStr">
        <is>
          <t>e0aac34c8efb7384210fe820865d42b25805debb</t>
        </is>
      </c>
      <c r="K2241">
        <f>HYPERLINK("http://gitlab.osmosys.co/incident-reporter/incident-reporter-app/-/merge_requests/1844#note_244014", "And also improve the test cases, its not in proper test cases and all scenario is not covered")</f>
        <v/>
      </c>
      <c r="L2241" t="inlineStr">
        <is>
          <t>2025-07-29 21:06:46.371 IST</t>
        </is>
      </c>
      <c r="M2241" t="inlineStr">
        <is>
          <t>Soundariya B</t>
        </is>
      </c>
      <c r="N2241" t="inlineStr">
        <is>
          <t>Yes</t>
        </is>
      </c>
      <c r="O2241" t="inlineStr">
        <is>
          <t>No</t>
        </is>
      </c>
      <c r="P2241" t="inlineStr"/>
      <c r="Q2241" t="inlineStr">
        <is>
          <t>Bad</t>
        </is>
      </c>
    </row>
    <row r="2242">
      <c r="A2242" t="inlineStr">
        <is>
          <t>dhruv.p</t>
        </is>
      </c>
      <c r="B2242" t="inlineStr">
        <is>
          <t>Dhruv Pahadia</t>
        </is>
      </c>
      <c r="C2242" t="inlineStr">
        <is>
          <t>dhruv.p@osmosys.co</t>
        </is>
      </c>
      <c r="D2242" t="inlineStr">
        <is>
          <t>incident-reporter</t>
        </is>
      </c>
      <c r="E2242">
        <f>HYPERLINK("http://gitlab.osmosys.co/incident-reporter/incident-reporter-app", "OQSHA Mobile App")</f>
        <v/>
      </c>
      <c r="F2242">
        <f>HYPERLINK("http://gitlab.osmosys.co/incident-reporter/incident-reporter-app/-/merge_requests/1844", "fix: attendance geo-fence issues")</f>
        <v/>
      </c>
      <c r="G2242" t="inlineStr">
        <is>
          <t>fix/geo-fence-attendance</t>
        </is>
      </c>
      <c r="H2242" t="inlineStr">
        <is>
          <t>sprint-18</t>
        </is>
      </c>
      <c r="I2242" t="inlineStr">
        <is>
          <t>opened</t>
        </is>
      </c>
      <c r="J2242" t="inlineStr">
        <is>
          <t>31bc9760eae5f9850908f1c8a0df037f103ef728</t>
        </is>
      </c>
      <c r="K2242">
        <f>HYPERLINK("http://gitlab.osmosys.co/incident-reporter/incident-reporter-app/-/merge_requests/1844#note_244016", "Can you show the code of bufferService of both method using here in this PR to make sure it.")</f>
        <v/>
      </c>
      <c r="L2242" t="inlineStr">
        <is>
          <t>2025-07-29 21:07:40.377 IST</t>
        </is>
      </c>
      <c r="M2242" t="inlineStr">
        <is>
          <t>Soundariya B</t>
        </is>
      </c>
      <c r="N2242" t="inlineStr">
        <is>
          <t>Yes</t>
        </is>
      </c>
      <c r="O2242" t="inlineStr">
        <is>
          <t>No</t>
        </is>
      </c>
      <c r="P2242" t="inlineStr"/>
      <c r="Q2242" t="inlineStr">
        <is>
          <t>Bad</t>
        </is>
      </c>
    </row>
    <row r="2243">
      <c r="A2243" t="inlineStr">
        <is>
          <t>dhruv.p</t>
        </is>
      </c>
      <c r="B2243" t="inlineStr">
        <is>
          <t>Dhruv Pahadia</t>
        </is>
      </c>
      <c r="C2243" t="inlineStr">
        <is>
          <t>dhruv.p@osmosys.co</t>
        </is>
      </c>
      <c r="D2243" t="inlineStr">
        <is>
          <t>incident-reporter</t>
        </is>
      </c>
      <c r="E2243">
        <f>HYPERLINK("http://gitlab.osmosys.co/incident-reporter/incident-reporter-app", "OQSHA Mobile App")</f>
        <v/>
      </c>
      <c r="F2243">
        <f>HYPERLINK("http://gitlab.osmosys.co/incident-reporter/incident-reporter-app/-/merge_requests/1843", "feat: add ptw restriction")</f>
        <v/>
      </c>
      <c r="G2243" t="inlineStr">
        <is>
          <t>feat/ptw-restriction</t>
        </is>
      </c>
      <c r="H2243" t="inlineStr">
        <is>
          <t>sprint-18</t>
        </is>
      </c>
      <c r="I2243" t="inlineStr">
        <is>
          <t>merged</t>
        </is>
      </c>
      <c r="J2243" t="inlineStr"/>
      <c r="K2243" t="inlineStr"/>
      <c r="L2243" t="inlineStr"/>
      <c r="M2243" t="inlineStr"/>
      <c r="N2243" t="inlineStr"/>
      <c r="O2243" t="inlineStr"/>
      <c r="P2243" t="inlineStr"/>
      <c r="Q2243" t="inlineStr"/>
    </row>
    <row r="2244">
      <c r="A2244" t="inlineStr">
        <is>
          <t>dhruv.p</t>
        </is>
      </c>
      <c r="B2244" t="inlineStr">
        <is>
          <t>Dhruv Pahadia</t>
        </is>
      </c>
      <c r="C2244" t="inlineStr">
        <is>
          <t>dhruv.p@osmosys.co</t>
        </is>
      </c>
      <c r="D2244" t="inlineStr">
        <is>
          <t>incident-reporter</t>
        </is>
      </c>
      <c r="E2244">
        <f>HYPERLINK("http://gitlab.osmosys.co/incident-reporter/incident-reporter-app", "OQSHA Mobile App")</f>
        <v/>
      </c>
      <c r="F2244">
        <f>HYPERLINK("http://gitlab.osmosys.co/incident-reporter/incident-reporter-app/-/merge_requests/1832", "feat: restrict users from creating multiple active ptws")</f>
        <v/>
      </c>
      <c r="G2244" t="inlineStr">
        <is>
          <t>feat/active-ptws-restriction</t>
        </is>
      </c>
      <c r="H2244" t="inlineStr">
        <is>
          <t>sprint-18</t>
        </is>
      </c>
      <c r="I2244" t="inlineStr">
        <is>
          <t>merged</t>
        </is>
      </c>
      <c r="J2244" t="inlineStr"/>
      <c r="K2244" t="inlineStr"/>
      <c r="L2244" t="inlineStr"/>
      <c r="M2244" t="inlineStr"/>
      <c r="N2244" t="inlineStr"/>
      <c r="O2244" t="inlineStr"/>
      <c r="P2244" t="inlineStr"/>
      <c r="Q2244" t="inlineStr"/>
    </row>
    <row r="2245">
      <c r="A2245" t="inlineStr">
        <is>
          <t>dhruv.p</t>
        </is>
      </c>
      <c r="B2245" t="inlineStr">
        <is>
          <t>Dhruv Pahadia</t>
        </is>
      </c>
      <c r="C2245" t="inlineStr">
        <is>
          <t>dhruv.p@osmosys.co</t>
        </is>
      </c>
      <c r="D2245" t="inlineStr">
        <is>
          <t>incident-reporter</t>
        </is>
      </c>
      <c r="E2245">
        <f>HYPERLINK("http://gitlab.osmosys.co/incident-reporter/incident-reporter-app", "OQSHA Mobile App")</f>
        <v/>
      </c>
      <c r="F2245">
        <f>HYPERLINK("http://gitlab.osmosys.co/incident-reporter/incident-reporter-app/-/merge_requests/1827", "feat: remove fields from pwa inspection")</f>
        <v/>
      </c>
      <c r="G2245" t="inlineStr">
        <is>
          <t>feat/pwa-attachments</t>
        </is>
      </c>
      <c r="H2245" t="inlineStr">
        <is>
          <t>sprint-18</t>
        </is>
      </c>
      <c r="I2245" t="inlineStr">
        <is>
          <t>merged</t>
        </is>
      </c>
      <c r="J2245" t="inlineStr">
        <is>
          <t>86f738c38bfa6d6c3123449ff7db783440714a96</t>
        </is>
      </c>
      <c r="K2245">
        <f>HYPERLINK("http://gitlab.osmosys.co/incident-reporter/incident-reporter-app/-/merge_requests/1827#note_242046", "Assign to field should hide as per task required so why its not hided?
![image.png](/uploads/8f6904e0d91a0bd3688324e84858b84d/image.png)")</f>
        <v/>
      </c>
      <c r="L2245" t="inlineStr">
        <is>
          <t>2025-07-25 19:13:49.998 IST</t>
        </is>
      </c>
      <c r="M2245" t="inlineStr">
        <is>
          <t>Soundariya B</t>
        </is>
      </c>
      <c r="N2245" t="inlineStr">
        <is>
          <t>Yes</t>
        </is>
      </c>
      <c r="O2245" t="inlineStr">
        <is>
          <t>Yes</t>
        </is>
      </c>
      <c r="P2245" t="inlineStr">
        <is>
          <t>Soundariya B</t>
        </is>
      </c>
      <c r="Q2245" t="inlineStr">
        <is>
          <t>Neutral</t>
        </is>
      </c>
    </row>
    <row r="2246">
      <c r="A2246" t="inlineStr">
        <is>
          <t>dhruv.p</t>
        </is>
      </c>
      <c r="B2246" t="inlineStr">
        <is>
          <t>Dhruv Pahadia</t>
        </is>
      </c>
      <c r="C2246" t="inlineStr">
        <is>
          <t>dhruv.p@osmosys.co</t>
        </is>
      </c>
      <c r="D2246" t="inlineStr">
        <is>
          <t>incident-reporter</t>
        </is>
      </c>
      <c r="E2246">
        <f>HYPERLINK("http://gitlab.osmosys.co/incident-reporter/incident-reporter-app", "OQSHA Mobile App")</f>
        <v/>
      </c>
      <c r="F2246">
        <f>HYPERLINK("http://gitlab.osmosys.co/incident-reporter/incident-reporter-app/-/merge_requests/1827", "feat: remove fields from pwa inspection")</f>
        <v/>
      </c>
      <c r="G2246" t="inlineStr">
        <is>
          <t>feat/pwa-attachments</t>
        </is>
      </c>
      <c r="H2246" t="inlineStr">
        <is>
          <t>sprint-18</t>
        </is>
      </c>
      <c r="I2246" t="inlineStr">
        <is>
          <t>merged</t>
        </is>
      </c>
      <c r="J2246" t="inlineStr">
        <is>
          <t>86f738c38bfa6d6c3123449ff7db783440714a96</t>
        </is>
      </c>
      <c r="K2246">
        <f>HYPERLINK("http://gitlab.osmosys.co/incident-reporter/incident-reporter-app/-/merge_requests/1827#note_242067", "Assign to is to be removed from the inspection page not the ticket page")</f>
        <v/>
      </c>
      <c r="L2246" t="inlineStr">
        <is>
          <t>2025-07-25 19:25:23.566 IST</t>
        </is>
      </c>
      <c r="M2246" t="inlineStr">
        <is>
          <t>Dhruv Pahadia</t>
        </is>
      </c>
      <c r="N2246" t="inlineStr">
        <is>
          <t>No</t>
        </is>
      </c>
      <c r="O2246" t="inlineStr">
        <is>
          <t>Yes</t>
        </is>
      </c>
      <c r="P2246" t="inlineStr">
        <is>
          <t>Soundariya B</t>
        </is>
      </c>
      <c r="Q2246" t="inlineStr">
        <is>
          <t>Neutral</t>
        </is>
      </c>
    </row>
    <row r="2247">
      <c r="A2247" t="inlineStr">
        <is>
          <t>dhruv.p</t>
        </is>
      </c>
      <c r="B2247" t="inlineStr">
        <is>
          <t>Dhruv Pahadia</t>
        </is>
      </c>
      <c r="C2247" t="inlineStr">
        <is>
          <t>dhruv.p@osmosys.co</t>
        </is>
      </c>
      <c r="D2247" t="inlineStr">
        <is>
          <t>incident-reporter</t>
        </is>
      </c>
      <c r="E2247">
        <f>HYPERLINK("http://gitlab.osmosys.co/incident-reporter/incident-reporter-app", "OQSHA Mobile App")</f>
        <v/>
      </c>
      <c r="F2247">
        <f>HYPERLINK("http://gitlab.osmosys.co/incident-reporter/incident-reporter-app/-/merge_requests/1827", "feat: remove fields from pwa inspection")</f>
        <v/>
      </c>
      <c r="G2247" t="inlineStr">
        <is>
          <t>feat/pwa-attachments</t>
        </is>
      </c>
      <c r="H2247" t="inlineStr">
        <is>
          <t>sprint-18</t>
        </is>
      </c>
      <c r="I2247" t="inlineStr">
        <is>
          <t>merged</t>
        </is>
      </c>
      <c r="J2247" t="inlineStr">
        <is>
          <t>1bfa677453580cd285951b1f725d3a4db8b24a6a</t>
        </is>
      </c>
      <c r="K2247">
        <f>HYPERLINK("http://gitlab.osmosys.co/incident-reporter/incident-reporter-app/-/merge_requests/1827#note_242047", "Checklist are not in proper way")</f>
        <v/>
      </c>
      <c r="L2247" t="inlineStr">
        <is>
          <t>2025-07-25 19:13:50.031 IST</t>
        </is>
      </c>
      <c r="M2247" t="inlineStr">
        <is>
          <t>Soundariya B</t>
        </is>
      </c>
      <c r="N2247" t="inlineStr">
        <is>
          <t>Yes</t>
        </is>
      </c>
      <c r="O2247" t="inlineStr">
        <is>
          <t>Yes</t>
        </is>
      </c>
      <c r="P2247" t="inlineStr">
        <is>
          <t>Soundariya B</t>
        </is>
      </c>
      <c r="Q2247" t="inlineStr">
        <is>
          <t>Bad</t>
        </is>
      </c>
    </row>
    <row r="2248">
      <c r="A2248" t="inlineStr">
        <is>
          <t>dhruv.p</t>
        </is>
      </c>
      <c r="B2248" t="inlineStr">
        <is>
          <t>Dhruv Pahadia</t>
        </is>
      </c>
      <c r="C2248" t="inlineStr">
        <is>
          <t>dhruv.p@osmosys.co</t>
        </is>
      </c>
      <c r="D2248" t="inlineStr">
        <is>
          <t>incident-reporter</t>
        </is>
      </c>
      <c r="E2248">
        <f>HYPERLINK("http://gitlab.osmosys.co/incident-reporter/incident-reporter-app", "OQSHA Mobile App")</f>
        <v/>
      </c>
      <c r="F2248">
        <f>HYPERLINK("http://gitlab.osmosys.co/incident-reporter/incident-reporter-app/-/merge_requests/1827", "feat: remove fields from pwa inspection")</f>
        <v/>
      </c>
      <c r="G2248" t="inlineStr">
        <is>
          <t>feat/pwa-attachments</t>
        </is>
      </c>
      <c r="H2248" t="inlineStr">
        <is>
          <t>sprint-18</t>
        </is>
      </c>
      <c r="I2248" t="inlineStr">
        <is>
          <t>merged</t>
        </is>
      </c>
      <c r="J2248" t="inlineStr">
        <is>
          <t>1bfa677453580cd285951b1f725d3a4db8b24a6a</t>
        </is>
      </c>
      <c r="K2248">
        <f>HYPERLINK("http://gitlab.osmosys.co/incident-reporter/incident-reporter-app/-/merge_requests/1827#note_242070", "Fixed")</f>
        <v/>
      </c>
      <c r="L2248" t="inlineStr">
        <is>
          <t>2025-07-25 19:26:03.153 IST</t>
        </is>
      </c>
      <c r="M2248" t="inlineStr">
        <is>
          <t>Dhruv Pahadia</t>
        </is>
      </c>
      <c r="N2248" t="inlineStr">
        <is>
          <t>No</t>
        </is>
      </c>
      <c r="O2248" t="inlineStr">
        <is>
          <t>Yes</t>
        </is>
      </c>
      <c r="P2248" t="inlineStr">
        <is>
          <t>Soundariya B</t>
        </is>
      </c>
      <c r="Q2248" t="inlineStr">
        <is>
          <t>Bad</t>
        </is>
      </c>
    </row>
    <row r="2249">
      <c r="A2249" t="inlineStr">
        <is>
          <t>dhruv.p</t>
        </is>
      </c>
      <c r="B2249" t="inlineStr">
        <is>
          <t>Dhruv Pahadia</t>
        </is>
      </c>
      <c r="C2249" t="inlineStr">
        <is>
          <t>dhruv.p@osmosys.co</t>
        </is>
      </c>
      <c r="D2249" t="inlineStr">
        <is>
          <t>incident-reporter</t>
        </is>
      </c>
      <c r="E2249">
        <f>HYPERLINK("http://gitlab.osmosys.co/incident-reporter/incident-reporter-app", "OQSHA Mobile App")</f>
        <v/>
      </c>
      <c r="F2249">
        <f>HYPERLINK("http://gitlab.osmosys.co/incident-reporter/incident-reporter-app/-/merge_requests/1827", "feat: remove fields from pwa inspection")</f>
        <v/>
      </c>
      <c r="G2249" t="inlineStr">
        <is>
          <t>feat/pwa-attachments</t>
        </is>
      </c>
      <c r="H2249" t="inlineStr">
        <is>
          <t>sprint-18</t>
        </is>
      </c>
      <c r="I2249" t="inlineStr">
        <is>
          <t>merged</t>
        </is>
      </c>
      <c r="J2249" t="inlineStr">
        <is>
          <t>8d41779e135f5c4759fac7a7509830cf62df0747</t>
        </is>
      </c>
      <c r="K2249">
        <f>HYPERLINK("http://gitlab.osmosys.co/incident-reporter/incident-reporter-app/-/merge_requests/1827#note_242048", "It should be common.attachmentBtn")</f>
        <v/>
      </c>
      <c r="L2249" t="inlineStr">
        <is>
          <t>2025-07-25 19:13:50.098 IST</t>
        </is>
      </c>
      <c r="M2249" t="inlineStr">
        <is>
          <t>Soundariya B</t>
        </is>
      </c>
      <c r="N2249" t="inlineStr">
        <is>
          <t>Yes</t>
        </is>
      </c>
      <c r="O2249" t="inlineStr">
        <is>
          <t>Yes</t>
        </is>
      </c>
      <c r="P2249" t="inlineStr">
        <is>
          <t>Soundariya B</t>
        </is>
      </c>
      <c r="Q2249" t="inlineStr">
        <is>
          <t>Bad</t>
        </is>
      </c>
    </row>
    <row r="2250">
      <c r="A2250" t="inlineStr">
        <is>
          <t>dhruv.p</t>
        </is>
      </c>
      <c r="B2250" t="inlineStr">
        <is>
          <t>Dhruv Pahadia</t>
        </is>
      </c>
      <c r="C2250" t="inlineStr">
        <is>
          <t>dhruv.p@osmosys.co</t>
        </is>
      </c>
      <c r="D2250" t="inlineStr">
        <is>
          <t>incident-reporter</t>
        </is>
      </c>
      <c r="E2250">
        <f>HYPERLINK("http://gitlab.osmosys.co/incident-reporter/incident-reporter-app", "OQSHA Mobile App")</f>
        <v/>
      </c>
      <c r="F2250">
        <f>HYPERLINK("http://gitlab.osmosys.co/incident-reporter/incident-reporter-app/-/merge_requests/1827", "feat: remove fields from pwa inspection")</f>
        <v/>
      </c>
      <c r="G2250" t="inlineStr">
        <is>
          <t>feat/pwa-attachments</t>
        </is>
      </c>
      <c r="H2250" t="inlineStr">
        <is>
          <t>sprint-18</t>
        </is>
      </c>
      <c r="I2250" t="inlineStr">
        <is>
          <t>merged</t>
        </is>
      </c>
      <c r="J2250" t="inlineStr">
        <is>
          <t>c0171b3f3b9a7420e6d7720c0dc435276995d827</t>
        </is>
      </c>
      <c r="K2250">
        <f>HYPERLINK("http://gitlab.osmosys.co/incident-reporter/incident-reporter-app/-/merge_requests/1827#note_242051", "Just want to know - why assign to and due date field are not hide for isPlatformPwa")</f>
        <v/>
      </c>
      <c r="L2250" t="inlineStr">
        <is>
          <t>2025-07-25 19:14:31.138 IST</t>
        </is>
      </c>
      <c r="M2250" t="inlineStr">
        <is>
          <t>Soundariya B</t>
        </is>
      </c>
      <c r="N2250" t="inlineStr">
        <is>
          <t>Yes</t>
        </is>
      </c>
      <c r="O2250" t="inlineStr">
        <is>
          <t>Yes</t>
        </is>
      </c>
      <c r="P2250" t="inlineStr">
        <is>
          <t>Soundariya B</t>
        </is>
      </c>
      <c r="Q2250" t="inlineStr">
        <is>
          <t>Neutral</t>
        </is>
      </c>
    </row>
    <row r="2251">
      <c r="A2251" t="inlineStr">
        <is>
          <t>dhruv.p</t>
        </is>
      </c>
      <c r="B2251" t="inlineStr">
        <is>
          <t>Dhruv Pahadia</t>
        </is>
      </c>
      <c r="C2251" t="inlineStr">
        <is>
          <t>dhruv.p@osmosys.co</t>
        </is>
      </c>
      <c r="D2251" t="inlineStr">
        <is>
          <t>incident-reporter</t>
        </is>
      </c>
      <c r="E2251">
        <f>HYPERLINK("http://gitlab.osmosys.co/incident-reporter/incident-reporter-app", "OQSHA Mobile App")</f>
        <v/>
      </c>
      <c r="F2251">
        <f>HYPERLINK("http://gitlab.osmosys.co/incident-reporter/incident-reporter-app/-/merge_requests/1827", "feat: remove fields from pwa inspection")</f>
        <v/>
      </c>
      <c r="G2251" t="inlineStr">
        <is>
          <t>feat/pwa-attachments</t>
        </is>
      </c>
      <c r="H2251" t="inlineStr">
        <is>
          <t>sprint-18</t>
        </is>
      </c>
      <c r="I2251" t="inlineStr">
        <is>
          <t>merged</t>
        </is>
      </c>
      <c r="J2251" t="inlineStr">
        <is>
          <t>c0171b3f3b9a7420e6d7720c0dc435276995d827</t>
        </is>
      </c>
      <c r="K2251">
        <f>HYPERLINK("http://gitlab.osmosys.co/incident-reporter/incident-reporter-app/-/merge_requests/1827#note_242073", "Because we dont want the user who are using the pwa to be able to schedule an inspection for future. This is what the due date field and Assign to fields help them in")</f>
        <v/>
      </c>
      <c r="L2251" t="inlineStr">
        <is>
          <t>2025-07-25 19:27:44.572 IST</t>
        </is>
      </c>
      <c r="M2251" t="inlineStr">
        <is>
          <t>Dhruv Pahadia</t>
        </is>
      </c>
      <c r="N2251" t="inlineStr">
        <is>
          <t>No</t>
        </is>
      </c>
      <c r="O2251" t="inlineStr">
        <is>
          <t>Yes</t>
        </is>
      </c>
      <c r="P2251" t="inlineStr">
        <is>
          <t>Soundariya B</t>
        </is>
      </c>
      <c r="Q2251" t="inlineStr">
        <is>
          <t>Neutral</t>
        </is>
      </c>
    </row>
    <row r="2252">
      <c r="A2252" t="inlineStr">
        <is>
          <t>dhruv.p</t>
        </is>
      </c>
      <c r="B2252" t="inlineStr">
        <is>
          <t>Dhruv Pahadia</t>
        </is>
      </c>
      <c r="C2252" t="inlineStr">
        <is>
          <t>dhruv.p@osmosys.co</t>
        </is>
      </c>
      <c r="D2252" t="inlineStr">
        <is>
          <t>incident-reporter</t>
        </is>
      </c>
      <c r="E2252">
        <f>HYPERLINK("http://gitlab.osmosys.co/incident-reporter/incident-reporter-app", "OQSHA Mobile App")</f>
        <v/>
      </c>
      <c r="F2252">
        <f>HYPERLINK("http://gitlab.osmosys.co/incident-reporter/incident-reporter-app/-/merge_requests/1819", "fix: fix clarify comment")</f>
        <v/>
      </c>
      <c r="G2252" t="inlineStr">
        <is>
          <t>fix/clarify-comment</t>
        </is>
      </c>
      <c r="H2252" t="inlineStr">
        <is>
          <t>sprint-17</t>
        </is>
      </c>
      <c r="I2252" t="inlineStr">
        <is>
          <t>merged</t>
        </is>
      </c>
      <c r="J2252" t="inlineStr"/>
      <c r="K2252" t="inlineStr"/>
      <c r="L2252" t="inlineStr"/>
      <c r="M2252" t="inlineStr"/>
      <c r="N2252" t="inlineStr"/>
      <c r="O2252" t="inlineStr"/>
      <c r="P2252" t="inlineStr"/>
      <c r="Q2252" t="inlineStr"/>
    </row>
    <row r="2253">
      <c r="A2253" t="inlineStr">
        <is>
          <t>dhruv.p</t>
        </is>
      </c>
      <c r="B2253" t="inlineStr">
        <is>
          <t>Dhruv Pahadia</t>
        </is>
      </c>
      <c r="C2253" t="inlineStr">
        <is>
          <t>dhruv.p@osmosys.co</t>
        </is>
      </c>
      <c r="D2253" t="inlineStr">
        <is>
          <t>incident-reporter</t>
        </is>
      </c>
      <c r="E2253">
        <f>HYPERLINK("http://gitlab.osmosys.co/incident-reporter/incident-reporter-app", "OQSHA Mobile App")</f>
        <v/>
      </c>
      <c r="F2253">
        <f>HYPERLINK("http://gitlab.osmosys.co/incident-reporter/incident-reporter-app/-/merge_requests/1812", "fix: add moc validation for app")</f>
        <v/>
      </c>
      <c r="G2253" t="inlineStr">
        <is>
          <t>fix/moc-validation-app</t>
        </is>
      </c>
      <c r="H2253" t="inlineStr">
        <is>
          <t>sprint-17</t>
        </is>
      </c>
      <c r="I2253" t="inlineStr">
        <is>
          <t>merged</t>
        </is>
      </c>
      <c r="J2253" t="inlineStr"/>
      <c r="K2253" t="inlineStr"/>
      <c r="L2253" t="inlineStr"/>
      <c r="M2253" t="inlineStr"/>
      <c r="N2253" t="inlineStr"/>
      <c r="O2253" t="inlineStr"/>
      <c r="P2253" t="inlineStr"/>
      <c r="Q2253" t="inlineStr"/>
    </row>
    <row r="2254">
      <c r="A2254" t="inlineStr">
        <is>
          <t>dhruv.p</t>
        </is>
      </c>
      <c r="B2254" t="inlineStr">
        <is>
          <t>Dhruv Pahadia</t>
        </is>
      </c>
      <c r="C2254" t="inlineStr">
        <is>
          <t>dhruv.p@osmosys.co</t>
        </is>
      </c>
      <c r="D2254" t="inlineStr">
        <is>
          <t>incident-reporter</t>
        </is>
      </c>
      <c r="E2254">
        <f>HYPERLINK("http://gitlab.osmosys.co/incident-reporter/incident-reporter-app", "OQSHA Mobile App")</f>
        <v/>
      </c>
      <c r="F2254">
        <f>HYPERLINK("http://gitlab.osmosys.co/incident-reporter/incident-reporter-app/-/merge_requests/1809", "feat: implement moc clarification")</f>
        <v/>
      </c>
      <c r="G2254" t="inlineStr">
        <is>
          <t>feat/moc-clarification</t>
        </is>
      </c>
      <c r="H2254" t="inlineStr">
        <is>
          <t>sprint-17</t>
        </is>
      </c>
      <c r="I2254" t="inlineStr">
        <is>
          <t>merged</t>
        </is>
      </c>
      <c r="J2254" t="inlineStr">
        <is>
          <t>7b8ba2bbc63cdcf7db67e22413dc3f1ff7d62f52</t>
        </is>
      </c>
      <c r="K2254">
        <f>HYPERLINK("http://gitlab.osmosys.co/incident-reporter/incident-reporter-app/-/merge_requests/1809#note_239999", "You're not permitted to edit this clarification.")</f>
        <v/>
      </c>
      <c r="L2254" t="inlineStr">
        <is>
          <t>2025-07-22 12:13:05.295 IST</t>
        </is>
      </c>
      <c r="M2254" t="inlineStr">
        <is>
          <t>Soundariya B</t>
        </is>
      </c>
      <c r="N2254" t="inlineStr">
        <is>
          <t>Yes</t>
        </is>
      </c>
      <c r="O2254" t="inlineStr">
        <is>
          <t>Yes</t>
        </is>
      </c>
      <c r="P2254" t="inlineStr">
        <is>
          <t>Soundariya B</t>
        </is>
      </c>
      <c r="Q2254" t="inlineStr">
        <is>
          <t>Neutral</t>
        </is>
      </c>
    </row>
    <row r="2255">
      <c r="A2255" t="inlineStr">
        <is>
          <t>dhruv.p</t>
        </is>
      </c>
      <c r="B2255" t="inlineStr">
        <is>
          <t>Dhruv Pahadia</t>
        </is>
      </c>
      <c r="C2255" t="inlineStr">
        <is>
          <t>dhruv.p@osmosys.co</t>
        </is>
      </c>
      <c r="D2255" t="inlineStr">
        <is>
          <t>incident-reporter</t>
        </is>
      </c>
      <c r="E2255">
        <f>HYPERLINK("http://gitlab.osmosys.co/incident-reporter/incident-reporter-app", "OQSHA Mobile App")</f>
        <v/>
      </c>
      <c r="F2255">
        <f>HYPERLINK("http://gitlab.osmosys.co/incident-reporter/incident-reporter-app/-/merge_requests/1809", "feat: implement moc clarification")</f>
        <v/>
      </c>
      <c r="G2255" t="inlineStr">
        <is>
          <t>feat/moc-clarification</t>
        </is>
      </c>
      <c r="H2255" t="inlineStr">
        <is>
          <t>sprint-17</t>
        </is>
      </c>
      <c r="I2255" t="inlineStr">
        <is>
          <t>merged</t>
        </is>
      </c>
      <c r="J2255" t="inlineStr">
        <is>
          <t>7b8ba2bbc63cdcf7db67e22413dc3f1ff7d62f52</t>
        </is>
      </c>
      <c r="K2255">
        <f>HYPERLINK("http://gitlab.osmosys.co/incident-reporter/incident-reporter-app/-/merge_requests/1809#note_240036", "Nothing has been edited")</f>
        <v/>
      </c>
      <c r="L2255" t="inlineStr">
        <is>
          <t>2025-07-22 12:21:51.234 IST</t>
        </is>
      </c>
      <c r="M2255" t="inlineStr">
        <is>
          <t>Dhruv Pahadia</t>
        </is>
      </c>
      <c r="N2255" t="inlineStr">
        <is>
          <t>No</t>
        </is>
      </c>
      <c r="O2255" t="inlineStr">
        <is>
          <t>Yes</t>
        </is>
      </c>
      <c r="P2255" t="inlineStr">
        <is>
          <t>Soundariya B</t>
        </is>
      </c>
      <c r="Q2255" t="inlineStr">
        <is>
          <t>Neutral</t>
        </is>
      </c>
    </row>
    <row r="2256">
      <c r="A2256" t="inlineStr">
        <is>
          <t>dhruv.p</t>
        </is>
      </c>
      <c r="B2256" t="inlineStr">
        <is>
          <t>Dhruv Pahadia</t>
        </is>
      </c>
      <c r="C2256" t="inlineStr">
        <is>
          <t>dhruv.p@osmosys.co</t>
        </is>
      </c>
      <c r="D2256" t="inlineStr">
        <is>
          <t>incident-reporter</t>
        </is>
      </c>
      <c r="E2256">
        <f>HYPERLINK("http://gitlab.osmosys.co/incident-reporter/incident-reporter-app", "OQSHA Mobile App")</f>
        <v/>
      </c>
      <c r="F2256">
        <f>HYPERLINK("http://gitlab.osmosys.co/incident-reporter/incident-reporter-app/-/merge_requests/1809", "feat: implement moc clarification")</f>
        <v/>
      </c>
      <c r="G2256" t="inlineStr">
        <is>
          <t>feat/moc-clarification</t>
        </is>
      </c>
      <c r="H2256" t="inlineStr">
        <is>
          <t>sprint-17</t>
        </is>
      </c>
      <c r="I2256" t="inlineStr">
        <is>
          <t>merged</t>
        </is>
      </c>
      <c r="J2256" t="inlineStr">
        <is>
          <t>7b8ba2bbc63cdcf7db67e22413dc3f1ff7d62f52</t>
        </is>
      </c>
      <c r="K2256">
        <f>HYPERLINK("http://gitlab.osmosys.co/incident-reporter/incident-reporter-app/-/merge_requests/1809#note_240107", "Updated")</f>
        <v/>
      </c>
      <c r="L2256" t="inlineStr">
        <is>
          <t>2025-07-22 12:52:30.366 IST</t>
        </is>
      </c>
      <c r="M2256" t="inlineStr">
        <is>
          <t>Dhruv Pahadia</t>
        </is>
      </c>
      <c r="N2256" t="inlineStr">
        <is>
          <t>No</t>
        </is>
      </c>
      <c r="O2256" t="inlineStr">
        <is>
          <t>Yes</t>
        </is>
      </c>
      <c r="P2256" t="inlineStr">
        <is>
          <t>Soundariya B</t>
        </is>
      </c>
      <c r="Q2256" t="inlineStr">
        <is>
          <t>Neutral</t>
        </is>
      </c>
    </row>
    <row r="2257">
      <c r="A2257" t="inlineStr">
        <is>
          <t>dhruv.p</t>
        </is>
      </c>
      <c r="B2257" t="inlineStr">
        <is>
          <t>Dhruv Pahadia</t>
        </is>
      </c>
      <c r="C2257" t="inlineStr">
        <is>
          <t>dhruv.p@osmosys.co</t>
        </is>
      </c>
      <c r="D2257" t="inlineStr">
        <is>
          <t>incident-reporter</t>
        </is>
      </c>
      <c r="E2257">
        <f>HYPERLINK("http://gitlab.osmosys.co/incident-reporter/incident-reporter-app", "OQSHA Mobile App")</f>
        <v/>
      </c>
      <c r="F2257">
        <f>HYPERLINK("http://gitlab.osmosys.co/incident-reporter/incident-reporter-app/-/merge_requests/1809", "feat: implement moc clarification")</f>
        <v/>
      </c>
      <c r="G2257" t="inlineStr">
        <is>
          <t>feat/moc-clarification</t>
        </is>
      </c>
      <c r="H2257" t="inlineStr">
        <is>
          <t>sprint-17</t>
        </is>
      </c>
      <c r="I2257" t="inlineStr">
        <is>
          <t>merged</t>
        </is>
      </c>
      <c r="J2257" t="inlineStr">
        <is>
          <t>343d2c0db4615cd1b8acf8127f0e61bd6d62fa0f</t>
        </is>
      </c>
      <c r="K2257">
        <f>HYPERLINK("http://gitlab.osmosys.co/incident-reporter/incident-reporter-app/-/merge_requests/1809#note_240000", "Pipeline is failing")</f>
        <v/>
      </c>
      <c r="L2257" t="inlineStr">
        <is>
          <t>2025-07-22 12:13:13.120 IST</t>
        </is>
      </c>
      <c r="M2257" t="inlineStr">
        <is>
          <t>Soundariya B</t>
        </is>
      </c>
      <c r="N2257" t="inlineStr">
        <is>
          <t>Yes</t>
        </is>
      </c>
      <c r="O2257" t="inlineStr">
        <is>
          <t>Yes</t>
        </is>
      </c>
      <c r="P2257" t="inlineStr">
        <is>
          <t>Soundariya B</t>
        </is>
      </c>
      <c r="Q2257" t="inlineStr">
        <is>
          <t>Bad</t>
        </is>
      </c>
    </row>
    <row r="2258">
      <c r="A2258" t="inlineStr">
        <is>
          <t>dhruv.p</t>
        </is>
      </c>
      <c r="B2258" t="inlineStr">
        <is>
          <t>Dhruv Pahadia</t>
        </is>
      </c>
      <c r="C2258" t="inlineStr">
        <is>
          <t>dhruv.p@osmosys.co</t>
        </is>
      </c>
      <c r="D2258" t="inlineStr">
        <is>
          <t>incident-reporter</t>
        </is>
      </c>
      <c r="E2258">
        <f>HYPERLINK("http://gitlab.osmosys.co/incident-reporter/incident-reporter-app", "OQSHA Mobile App")</f>
        <v/>
      </c>
      <c r="F2258">
        <f>HYPERLINK("http://gitlab.osmosys.co/incident-reporter/incident-reporter-app/-/merge_requests/1809", "feat: implement moc clarification")</f>
        <v/>
      </c>
      <c r="G2258" t="inlineStr">
        <is>
          <t>feat/moc-clarification</t>
        </is>
      </c>
      <c r="H2258" t="inlineStr">
        <is>
          <t>sprint-17</t>
        </is>
      </c>
      <c r="I2258" t="inlineStr">
        <is>
          <t>merged</t>
        </is>
      </c>
      <c r="J2258" t="inlineStr">
        <is>
          <t>343d2c0db4615cd1b8acf8127f0e61bd6d62fa0f</t>
        </is>
      </c>
      <c r="K2258">
        <f>HYPERLINK("http://gitlab.osmosys.co/incident-reporter/incident-reporter-app/-/merge_requests/1809#note_240035", "Its fixed")</f>
        <v/>
      </c>
      <c r="L2258" t="inlineStr">
        <is>
          <t>2025-07-22 12:20:38.445 IST</t>
        </is>
      </c>
      <c r="M2258" t="inlineStr">
        <is>
          <t>Dhruv Pahadia</t>
        </is>
      </c>
      <c r="N2258" t="inlineStr">
        <is>
          <t>No</t>
        </is>
      </c>
      <c r="O2258" t="inlineStr">
        <is>
          <t>Yes</t>
        </is>
      </c>
      <c r="P2258" t="inlineStr">
        <is>
          <t>Soundariya B</t>
        </is>
      </c>
      <c r="Q2258" t="inlineStr">
        <is>
          <t>Bad</t>
        </is>
      </c>
    </row>
    <row r="2259">
      <c r="A2259" t="inlineStr">
        <is>
          <t>dhruv.p</t>
        </is>
      </c>
      <c r="B2259" t="inlineStr">
        <is>
          <t>Dhruv Pahadia</t>
        </is>
      </c>
      <c r="C2259" t="inlineStr">
        <is>
          <t>dhruv.p@osmosys.co</t>
        </is>
      </c>
      <c r="D2259" t="inlineStr">
        <is>
          <t>incident-reporter</t>
        </is>
      </c>
      <c r="E2259">
        <f>HYPERLINK("http://gitlab.osmosys.co/incident-reporter/incident-reporter-app", "OQSHA Mobile App")</f>
        <v/>
      </c>
      <c r="F2259">
        <f>HYPERLINK("http://gitlab.osmosys.co/incident-reporter/incident-reporter-app/-/merge_requests/1809", "feat: implement moc clarification")</f>
        <v/>
      </c>
      <c r="G2259" t="inlineStr">
        <is>
          <t>feat/moc-clarification</t>
        </is>
      </c>
      <c r="H2259" t="inlineStr">
        <is>
          <t>sprint-17</t>
        </is>
      </c>
      <c r="I2259" t="inlineStr">
        <is>
          <t>merged</t>
        </is>
      </c>
      <c r="J2259" t="inlineStr">
        <is>
          <t>cb74e9939f44e20d0fc4a255c0eafaef057199a6</t>
        </is>
      </c>
      <c r="K2259">
        <f>HYPERLINK("http://gitlab.osmosys.co/incident-reporter/incident-reporter-app/-/merge_requests/1809#note_240001", "It should be txt-input-cell")</f>
        <v/>
      </c>
      <c r="L2259" t="inlineStr">
        <is>
          <t>2025-07-22 12:13:13.193 IST</t>
        </is>
      </c>
      <c r="M2259" t="inlineStr">
        <is>
          <t>Soundariya B</t>
        </is>
      </c>
      <c r="N2259" t="inlineStr">
        <is>
          <t>Yes</t>
        </is>
      </c>
      <c r="O2259" t="inlineStr">
        <is>
          <t>Yes</t>
        </is>
      </c>
      <c r="P2259" t="inlineStr">
        <is>
          <t>Soundariya B</t>
        </is>
      </c>
      <c r="Q2259" t="inlineStr">
        <is>
          <t>Bad</t>
        </is>
      </c>
    </row>
    <row r="2260">
      <c r="A2260" t="inlineStr">
        <is>
          <t>dhruv.p</t>
        </is>
      </c>
      <c r="B2260" t="inlineStr">
        <is>
          <t>Dhruv Pahadia</t>
        </is>
      </c>
      <c r="C2260" t="inlineStr">
        <is>
          <t>dhruv.p@osmosys.co</t>
        </is>
      </c>
      <c r="D2260" t="inlineStr">
        <is>
          <t>incident-reporter</t>
        </is>
      </c>
      <c r="E2260">
        <f>HYPERLINK("http://gitlab.osmosys.co/incident-reporter/incident-reporter-app", "OQSHA Mobile App")</f>
        <v/>
      </c>
      <c r="F2260">
        <f>HYPERLINK("http://gitlab.osmosys.co/incident-reporter/incident-reporter-app/-/merge_requests/1809", "feat: implement moc clarification")</f>
        <v/>
      </c>
      <c r="G2260" t="inlineStr">
        <is>
          <t>feat/moc-clarification</t>
        </is>
      </c>
      <c r="H2260" t="inlineStr">
        <is>
          <t>sprint-17</t>
        </is>
      </c>
      <c r="I2260" t="inlineStr">
        <is>
          <t>merged</t>
        </is>
      </c>
      <c r="J2260" t="inlineStr">
        <is>
          <t>cb74e9939f44e20d0fc4a255c0eafaef057199a6</t>
        </is>
      </c>
      <c r="K2260">
        <f>HYPERLINK("http://gitlab.osmosys.co/incident-reporter/incident-reporter-app/-/merge_requests/1809#note_240040", "Fixed")</f>
        <v/>
      </c>
      <c r="L2260" t="inlineStr">
        <is>
          <t>2025-07-22 12:26:08.533 IST</t>
        </is>
      </c>
      <c r="M2260" t="inlineStr">
        <is>
          <t>Dhruv Pahadia</t>
        </is>
      </c>
      <c r="N2260" t="inlineStr">
        <is>
          <t>No</t>
        </is>
      </c>
      <c r="O2260" t="inlineStr">
        <is>
          <t>Yes</t>
        </is>
      </c>
      <c r="P2260" t="inlineStr">
        <is>
          <t>Soundariya B</t>
        </is>
      </c>
      <c r="Q2260" t="inlineStr">
        <is>
          <t>Bad</t>
        </is>
      </c>
    </row>
    <row r="2261">
      <c r="A2261" t="inlineStr">
        <is>
          <t>dhruv.p</t>
        </is>
      </c>
      <c r="B2261" t="inlineStr">
        <is>
          <t>Dhruv Pahadia</t>
        </is>
      </c>
      <c r="C2261" t="inlineStr">
        <is>
          <t>dhruv.p@osmosys.co</t>
        </is>
      </c>
      <c r="D2261" t="inlineStr">
        <is>
          <t>incident-reporter</t>
        </is>
      </c>
      <c r="E2261">
        <f>HYPERLINK("http://gitlab.osmosys.co/incident-reporter/incident-reporter-app", "OQSHA Mobile App")</f>
        <v/>
      </c>
      <c r="F2261">
        <f>HYPERLINK("http://gitlab.osmosys.co/incident-reporter/incident-reporter-app/-/merge_requests/1809", "feat: implement moc clarification")</f>
        <v/>
      </c>
      <c r="G2261" t="inlineStr">
        <is>
          <t>feat/moc-clarification</t>
        </is>
      </c>
      <c r="H2261" t="inlineStr">
        <is>
          <t>sprint-17</t>
        </is>
      </c>
      <c r="I2261" t="inlineStr">
        <is>
          <t>merged</t>
        </is>
      </c>
      <c r="J2261" t="inlineStr">
        <is>
          <t>cd36be9949d2f7cdfc45f47b1da7d3d5526242fd</t>
        </is>
      </c>
      <c r="K2261">
        <f>HYPERLINK("http://gitlab.osmosys.co/incident-reporter/incident-reporter-app/-/merge_requests/1809#note_240002", "Use hexa value")</f>
        <v/>
      </c>
      <c r="L2261" t="inlineStr">
        <is>
          <t>2025-07-22 12:13:13.294 IST</t>
        </is>
      </c>
      <c r="M2261" t="inlineStr">
        <is>
          <t>Soundariya B</t>
        </is>
      </c>
      <c r="N2261" t="inlineStr">
        <is>
          <t>Yes</t>
        </is>
      </c>
      <c r="O2261" t="inlineStr">
        <is>
          <t>Yes</t>
        </is>
      </c>
      <c r="P2261" t="inlineStr">
        <is>
          <t>Soundariya B</t>
        </is>
      </c>
      <c r="Q2261" t="inlineStr">
        <is>
          <t>Bad</t>
        </is>
      </c>
    </row>
    <row r="2262">
      <c r="A2262" t="inlineStr">
        <is>
          <t>dhruv.p</t>
        </is>
      </c>
      <c r="B2262" t="inlineStr">
        <is>
          <t>Dhruv Pahadia</t>
        </is>
      </c>
      <c r="C2262" t="inlineStr">
        <is>
          <t>dhruv.p@osmosys.co</t>
        </is>
      </c>
      <c r="D2262" t="inlineStr">
        <is>
          <t>incident-reporter</t>
        </is>
      </c>
      <c r="E2262">
        <f>HYPERLINK("http://gitlab.osmosys.co/incident-reporter/incident-reporter-app", "OQSHA Mobile App")</f>
        <v/>
      </c>
      <c r="F2262">
        <f>HYPERLINK("http://gitlab.osmosys.co/incident-reporter/incident-reporter-app/-/merge_requests/1809", "feat: implement moc clarification")</f>
        <v/>
      </c>
      <c r="G2262" t="inlineStr">
        <is>
          <t>feat/moc-clarification</t>
        </is>
      </c>
      <c r="H2262" t="inlineStr">
        <is>
          <t>sprint-17</t>
        </is>
      </c>
      <c r="I2262" t="inlineStr">
        <is>
          <t>merged</t>
        </is>
      </c>
      <c r="J2262" t="inlineStr">
        <is>
          <t>cd36be9949d2f7cdfc45f47b1da7d3d5526242fd</t>
        </is>
      </c>
      <c r="K2262">
        <f>HYPERLINK("http://gitlab.osmosys.co/incident-reporter/incident-reporter-app/-/merge_requests/1809#note_240044", "Removed as it was not necessary")</f>
        <v/>
      </c>
      <c r="L2262" t="inlineStr">
        <is>
          <t>2025-07-22 12:27:36.654 IST</t>
        </is>
      </c>
      <c r="M2262" t="inlineStr">
        <is>
          <t>Dhruv Pahadia</t>
        </is>
      </c>
      <c r="N2262" t="inlineStr">
        <is>
          <t>No</t>
        </is>
      </c>
      <c r="O2262" t="inlineStr">
        <is>
          <t>Yes</t>
        </is>
      </c>
      <c r="P2262" t="inlineStr">
        <is>
          <t>Soundariya B</t>
        </is>
      </c>
      <c r="Q2262" t="inlineStr">
        <is>
          <t>Bad</t>
        </is>
      </c>
    </row>
    <row r="2263">
      <c r="A2263" t="inlineStr">
        <is>
          <t>dhruv.p</t>
        </is>
      </c>
      <c r="B2263" t="inlineStr">
        <is>
          <t>Dhruv Pahadia</t>
        </is>
      </c>
      <c r="C2263" t="inlineStr">
        <is>
          <t>dhruv.p@osmosys.co</t>
        </is>
      </c>
      <c r="D2263" t="inlineStr">
        <is>
          <t>incident-reporter</t>
        </is>
      </c>
      <c r="E2263">
        <f>HYPERLINK("http://gitlab.osmosys.co/incident-reporter/incident-reporter-app", "OQSHA Mobile App")</f>
        <v/>
      </c>
      <c r="F2263">
        <f>HYPERLINK("http://gitlab.osmosys.co/incident-reporter/incident-reporter-app/-/merge_requests/1809", "feat: implement moc clarification")</f>
        <v/>
      </c>
      <c r="G2263" t="inlineStr">
        <is>
          <t>feat/moc-clarification</t>
        </is>
      </c>
      <c r="H2263" t="inlineStr">
        <is>
          <t>sprint-17</t>
        </is>
      </c>
      <c r="I2263" t="inlineStr">
        <is>
          <t>merged</t>
        </is>
      </c>
      <c r="J2263" t="inlineStr">
        <is>
          <t>822e6caa51e5c9f3120aa3e32fda91614bf47a8d</t>
        </is>
      </c>
      <c r="K2263">
        <f>HYPERLINK("http://gitlab.osmosys.co/incident-reporter/incident-reporter-app/-/merge_requests/1809#note_240003", "Use hexa value")</f>
        <v/>
      </c>
      <c r="L2263" t="inlineStr">
        <is>
          <t>2025-07-22 12:13:13.364 IST</t>
        </is>
      </c>
      <c r="M2263" t="inlineStr">
        <is>
          <t>Soundariya B</t>
        </is>
      </c>
      <c r="N2263" t="inlineStr">
        <is>
          <t>Yes</t>
        </is>
      </c>
      <c r="O2263" t="inlineStr">
        <is>
          <t>Yes</t>
        </is>
      </c>
      <c r="P2263" t="inlineStr">
        <is>
          <t>Soundariya B</t>
        </is>
      </c>
      <c r="Q2263" t="inlineStr">
        <is>
          <t>Bad</t>
        </is>
      </c>
    </row>
    <row r="2264">
      <c r="A2264" t="inlineStr">
        <is>
          <t>dhruv.p</t>
        </is>
      </c>
      <c r="B2264" t="inlineStr">
        <is>
          <t>Dhruv Pahadia</t>
        </is>
      </c>
      <c r="C2264" t="inlineStr">
        <is>
          <t>dhruv.p@osmosys.co</t>
        </is>
      </c>
      <c r="D2264" t="inlineStr">
        <is>
          <t>incident-reporter</t>
        </is>
      </c>
      <c r="E2264">
        <f>HYPERLINK("http://gitlab.osmosys.co/incident-reporter/incident-reporter-app", "OQSHA Mobile App")</f>
        <v/>
      </c>
      <c r="F2264">
        <f>HYPERLINK("http://gitlab.osmosys.co/incident-reporter/incident-reporter-app/-/merge_requests/1809", "feat: implement moc clarification")</f>
        <v/>
      </c>
      <c r="G2264" t="inlineStr">
        <is>
          <t>feat/moc-clarification</t>
        </is>
      </c>
      <c r="H2264" t="inlineStr">
        <is>
          <t>sprint-17</t>
        </is>
      </c>
      <c r="I2264" t="inlineStr">
        <is>
          <t>merged</t>
        </is>
      </c>
      <c r="J2264" t="inlineStr">
        <is>
          <t>822e6caa51e5c9f3120aa3e32fda91614bf47a8d</t>
        </is>
      </c>
      <c r="K2264">
        <f>HYPERLINK("http://gitlab.osmosys.co/incident-reporter/incident-reporter-app/-/merge_requests/1809#note_240053", "Removed as it was not necessary")</f>
        <v/>
      </c>
      <c r="L2264" t="inlineStr">
        <is>
          <t>2025-07-22 12:31:19.527 IST</t>
        </is>
      </c>
      <c r="M2264" t="inlineStr">
        <is>
          <t>Dhruv Pahadia</t>
        </is>
      </c>
      <c r="N2264" t="inlineStr">
        <is>
          <t>No</t>
        </is>
      </c>
      <c r="O2264" t="inlineStr">
        <is>
          <t>Yes</t>
        </is>
      </c>
      <c r="P2264" t="inlineStr">
        <is>
          <t>Soundariya B</t>
        </is>
      </c>
      <c r="Q2264" t="inlineStr">
        <is>
          <t>Bad</t>
        </is>
      </c>
    </row>
    <row r="2265">
      <c r="A2265" t="inlineStr">
        <is>
          <t>dhruv.p</t>
        </is>
      </c>
      <c r="B2265" t="inlineStr">
        <is>
          <t>Dhruv Pahadia</t>
        </is>
      </c>
      <c r="C2265" t="inlineStr">
        <is>
          <t>dhruv.p@osmosys.co</t>
        </is>
      </c>
      <c r="D2265" t="inlineStr">
        <is>
          <t>incident-reporter</t>
        </is>
      </c>
      <c r="E2265">
        <f>HYPERLINK("http://gitlab.osmosys.co/incident-reporter/incident-reporter-app", "OQSHA Mobile App")</f>
        <v/>
      </c>
      <c r="F2265">
        <f>HYPERLINK("http://gitlab.osmosys.co/incident-reporter/incident-reporter-app/-/merge_requests/1809", "feat: implement moc clarification")</f>
        <v/>
      </c>
      <c r="G2265" t="inlineStr">
        <is>
          <t>feat/moc-clarification</t>
        </is>
      </c>
      <c r="H2265" t="inlineStr">
        <is>
          <t>sprint-17</t>
        </is>
      </c>
      <c r="I2265" t="inlineStr">
        <is>
          <t>merged</t>
        </is>
      </c>
      <c r="J2265" t="inlineStr">
        <is>
          <t>48239816c6709d1ece746c078f992bbaec4a5df6</t>
        </is>
      </c>
      <c r="K2265">
        <f>HYPERLINK("http://gitlab.osmosys.co/incident-reporter/incident-reporter-app/-/merge_requests/1809#note_240004", "Remove all unnecessary !important -- fix it everywhere")</f>
        <v/>
      </c>
      <c r="L2265" t="inlineStr">
        <is>
          <t>2025-07-22 12:13:13.435 IST</t>
        </is>
      </c>
      <c r="M2265" t="inlineStr">
        <is>
          <t>Soundariya B</t>
        </is>
      </c>
      <c r="N2265" t="inlineStr">
        <is>
          <t>Yes</t>
        </is>
      </c>
      <c r="O2265" t="inlineStr">
        <is>
          <t>Yes</t>
        </is>
      </c>
      <c r="P2265" t="inlineStr">
        <is>
          <t>Soundariya B</t>
        </is>
      </c>
      <c r="Q2265" t="inlineStr">
        <is>
          <t>Bad</t>
        </is>
      </c>
    </row>
    <row r="2266">
      <c r="A2266" t="inlineStr">
        <is>
          <t>dhruv.p</t>
        </is>
      </c>
      <c r="B2266" t="inlineStr">
        <is>
          <t>Dhruv Pahadia</t>
        </is>
      </c>
      <c r="C2266" t="inlineStr">
        <is>
          <t>dhruv.p@osmosys.co</t>
        </is>
      </c>
      <c r="D2266" t="inlineStr">
        <is>
          <t>incident-reporter</t>
        </is>
      </c>
      <c r="E2266">
        <f>HYPERLINK("http://gitlab.osmosys.co/incident-reporter/incident-reporter-app", "OQSHA Mobile App")</f>
        <v/>
      </c>
      <c r="F2266">
        <f>HYPERLINK("http://gitlab.osmosys.co/incident-reporter/incident-reporter-app/-/merge_requests/1809", "feat: implement moc clarification")</f>
        <v/>
      </c>
      <c r="G2266" t="inlineStr">
        <is>
          <t>feat/moc-clarification</t>
        </is>
      </c>
      <c r="H2266" t="inlineStr">
        <is>
          <t>sprint-17</t>
        </is>
      </c>
      <c r="I2266" t="inlineStr">
        <is>
          <t>merged</t>
        </is>
      </c>
      <c r="J2266" t="inlineStr">
        <is>
          <t>48239816c6709d1ece746c078f992bbaec4a5df6</t>
        </is>
      </c>
      <c r="K2266">
        <f>HYPERLINK("http://gitlab.osmosys.co/incident-reporter/incident-reporter-app/-/merge_requests/1809#note_240054", "Removed as it was not necessary")</f>
        <v/>
      </c>
      <c r="L2266" t="inlineStr">
        <is>
          <t>2025-07-22 12:31:36.044 IST</t>
        </is>
      </c>
      <c r="M2266" t="inlineStr">
        <is>
          <t>Dhruv Pahadia</t>
        </is>
      </c>
      <c r="N2266" t="inlineStr">
        <is>
          <t>No</t>
        </is>
      </c>
      <c r="O2266" t="inlineStr">
        <is>
          <t>Yes</t>
        </is>
      </c>
      <c r="P2266" t="inlineStr">
        <is>
          <t>Soundariya B</t>
        </is>
      </c>
      <c r="Q2266" t="inlineStr">
        <is>
          <t>Bad</t>
        </is>
      </c>
    </row>
    <row r="2267">
      <c r="A2267" t="inlineStr">
        <is>
          <t>dhruv.p</t>
        </is>
      </c>
      <c r="B2267" t="inlineStr">
        <is>
          <t>Dhruv Pahadia</t>
        </is>
      </c>
      <c r="C2267" t="inlineStr">
        <is>
          <t>dhruv.p@osmosys.co</t>
        </is>
      </c>
      <c r="D2267" t="inlineStr">
        <is>
          <t>incident-reporter</t>
        </is>
      </c>
      <c r="E2267">
        <f>HYPERLINK("http://gitlab.osmosys.co/incident-reporter/incident-reporter-app", "OQSHA Mobile App")</f>
        <v/>
      </c>
      <c r="F2267">
        <f>HYPERLINK("http://gitlab.osmosys.co/incident-reporter/incident-reporter-app/-/merge_requests/1809", "feat: implement moc clarification")</f>
        <v/>
      </c>
      <c r="G2267" t="inlineStr">
        <is>
          <t>feat/moc-clarification</t>
        </is>
      </c>
      <c r="H2267" t="inlineStr">
        <is>
          <t>sprint-17</t>
        </is>
      </c>
      <c r="I2267" t="inlineStr">
        <is>
          <t>merged</t>
        </is>
      </c>
      <c r="J2267" t="inlineStr">
        <is>
          <t>3e41ad10b897f25aa9692e5358ef196eccdba5c1</t>
        </is>
      </c>
      <c r="K2267">
        <f>HYPERLINK("http://gitlab.osmosys.co/incident-reporter/incident-reporter-app/-/merge_requests/1809#note_240005", "Avoid to use negative value -- fix it everywhere")</f>
        <v/>
      </c>
      <c r="L2267" t="inlineStr">
        <is>
          <t>2025-07-22 12:13:13.505 IST</t>
        </is>
      </c>
      <c r="M2267" t="inlineStr">
        <is>
          <t>Soundariya B</t>
        </is>
      </c>
      <c r="N2267" t="inlineStr">
        <is>
          <t>Yes</t>
        </is>
      </c>
      <c r="O2267" t="inlineStr">
        <is>
          <t>Yes</t>
        </is>
      </c>
      <c r="P2267" t="inlineStr">
        <is>
          <t>Soundariya B</t>
        </is>
      </c>
      <c r="Q2267" t="inlineStr">
        <is>
          <t>Bad</t>
        </is>
      </c>
    </row>
    <row r="2268">
      <c r="A2268" t="inlineStr">
        <is>
          <t>dhruv.p</t>
        </is>
      </c>
      <c r="B2268" t="inlineStr">
        <is>
          <t>Dhruv Pahadia</t>
        </is>
      </c>
      <c r="C2268" t="inlineStr">
        <is>
          <t>dhruv.p@osmosys.co</t>
        </is>
      </c>
      <c r="D2268" t="inlineStr">
        <is>
          <t>incident-reporter</t>
        </is>
      </c>
      <c r="E2268">
        <f>HYPERLINK("http://gitlab.osmosys.co/incident-reporter/incident-reporter-app", "OQSHA Mobile App")</f>
        <v/>
      </c>
      <c r="F2268">
        <f>HYPERLINK("http://gitlab.osmosys.co/incident-reporter/incident-reporter-app/-/merge_requests/1809", "feat: implement moc clarification")</f>
        <v/>
      </c>
      <c r="G2268" t="inlineStr">
        <is>
          <t>feat/moc-clarification</t>
        </is>
      </c>
      <c r="H2268" t="inlineStr">
        <is>
          <t>sprint-17</t>
        </is>
      </c>
      <c r="I2268" t="inlineStr">
        <is>
          <t>merged</t>
        </is>
      </c>
      <c r="J2268" t="inlineStr">
        <is>
          <t>3e41ad10b897f25aa9692e5358ef196eccdba5c1</t>
        </is>
      </c>
      <c r="K2268">
        <f>HYPERLINK("http://gitlab.osmosys.co/incident-reporter/incident-reporter-app/-/merge_requests/1809#note_240061", "Removed as it was not necessary")</f>
        <v/>
      </c>
      <c r="L2268" t="inlineStr">
        <is>
          <t>2025-07-22 12:31:41.437 IST</t>
        </is>
      </c>
      <c r="M2268" t="inlineStr">
        <is>
          <t>Dhruv Pahadia</t>
        </is>
      </c>
      <c r="N2268" t="inlineStr">
        <is>
          <t>No</t>
        </is>
      </c>
      <c r="O2268" t="inlineStr">
        <is>
          <t>Yes</t>
        </is>
      </c>
      <c r="P2268" t="inlineStr">
        <is>
          <t>Soundariya B</t>
        </is>
      </c>
      <c r="Q2268" t="inlineStr">
        <is>
          <t>Bad</t>
        </is>
      </c>
    </row>
    <row r="2269">
      <c r="A2269" t="inlineStr">
        <is>
          <t>dhruv.p</t>
        </is>
      </c>
      <c r="B2269" t="inlineStr">
        <is>
          <t>Dhruv Pahadia</t>
        </is>
      </c>
      <c r="C2269" t="inlineStr">
        <is>
          <t>dhruv.p@osmosys.co</t>
        </is>
      </c>
      <c r="D2269" t="inlineStr">
        <is>
          <t>incident-reporter</t>
        </is>
      </c>
      <c r="E2269">
        <f>HYPERLINK("http://gitlab.osmosys.co/incident-reporter/incident-reporter-app", "OQSHA Mobile App")</f>
        <v/>
      </c>
      <c r="F2269">
        <f>HYPERLINK("http://gitlab.osmosys.co/incident-reporter/incident-reporter-app/-/merge_requests/1809", "feat: implement moc clarification")</f>
        <v/>
      </c>
      <c r="G2269" t="inlineStr">
        <is>
          <t>feat/moc-clarification</t>
        </is>
      </c>
      <c r="H2269" t="inlineStr">
        <is>
          <t>sprint-17</t>
        </is>
      </c>
      <c r="I2269" t="inlineStr">
        <is>
          <t>merged</t>
        </is>
      </c>
      <c r="J2269" t="inlineStr">
        <is>
          <t>378ba8310f6e412ad1228bf1f269514a1417a194</t>
        </is>
      </c>
      <c r="K2269">
        <f>HYPERLINK("http://gitlab.osmosys.co/incident-reporter/incident-reporter-app/-/merge_requests/1809#note_240006", "Don't specify unit with zero -- fix it everywhere")</f>
        <v/>
      </c>
      <c r="L2269" t="inlineStr">
        <is>
          <t>2025-07-22 12:13:13.581 IST</t>
        </is>
      </c>
      <c r="M2269" t="inlineStr">
        <is>
          <t>Soundariya B</t>
        </is>
      </c>
      <c r="N2269" t="inlineStr">
        <is>
          <t>Yes</t>
        </is>
      </c>
      <c r="O2269" t="inlineStr">
        <is>
          <t>Yes</t>
        </is>
      </c>
      <c r="P2269" t="inlineStr">
        <is>
          <t>Soundariya B</t>
        </is>
      </c>
      <c r="Q2269" t="inlineStr">
        <is>
          <t>Bad</t>
        </is>
      </c>
    </row>
    <row r="2270">
      <c r="A2270" t="inlineStr">
        <is>
          <t>dhruv.p</t>
        </is>
      </c>
      <c r="B2270" t="inlineStr">
        <is>
          <t>Dhruv Pahadia</t>
        </is>
      </c>
      <c r="C2270" t="inlineStr">
        <is>
          <t>dhruv.p@osmosys.co</t>
        </is>
      </c>
      <c r="D2270" t="inlineStr">
        <is>
          <t>incident-reporter</t>
        </is>
      </c>
      <c r="E2270">
        <f>HYPERLINK("http://gitlab.osmosys.co/incident-reporter/incident-reporter-app", "OQSHA Mobile App")</f>
        <v/>
      </c>
      <c r="F2270">
        <f>HYPERLINK("http://gitlab.osmosys.co/incident-reporter/incident-reporter-app/-/merge_requests/1809", "feat: implement moc clarification")</f>
        <v/>
      </c>
      <c r="G2270" t="inlineStr">
        <is>
          <t>feat/moc-clarification</t>
        </is>
      </c>
      <c r="H2270" t="inlineStr">
        <is>
          <t>sprint-17</t>
        </is>
      </c>
      <c r="I2270" t="inlineStr">
        <is>
          <t>merged</t>
        </is>
      </c>
      <c r="J2270" t="inlineStr">
        <is>
          <t>378ba8310f6e412ad1228bf1f269514a1417a194</t>
        </is>
      </c>
      <c r="K2270">
        <f>HYPERLINK("http://gitlab.osmosys.co/incident-reporter/incident-reporter-app/-/merge_requests/1809#note_240062", "Removed as it was not necessary")</f>
        <v/>
      </c>
      <c r="L2270" t="inlineStr">
        <is>
          <t>2025-07-22 12:31:46.799 IST</t>
        </is>
      </c>
      <c r="M2270" t="inlineStr">
        <is>
          <t>Dhruv Pahadia</t>
        </is>
      </c>
      <c r="N2270" t="inlineStr">
        <is>
          <t>No</t>
        </is>
      </c>
      <c r="O2270" t="inlineStr">
        <is>
          <t>Yes</t>
        </is>
      </c>
      <c r="P2270" t="inlineStr">
        <is>
          <t>Soundariya B</t>
        </is>
      </c>
      <c r="Q2270" t="inlineStr">
        <is>
          <t>Bad</t>
        </is>
      </c>
    </row>
    <row r="2271">
      <c r="A2271" t="inlineStr">
        <is>
          <t>dhruv.p</t>
        </is>
      </c>
      <c r="B2271" t="inlineStr">
        <is>
          <t>Dhruv Pahadia</t>
        </is>
      </c>
      <c r="C2271" t="inlineStr">
        <is>
          <t>dhruv.p@osmosys.co</t>
        </is>
      </c>
      <c r="D2271" t="inlineStr">
        <is>
          <t>incident-reporter</t>
        </is>
      </c>
      <c r="E2271">
        <f>HYPERLINK("http://gitlab.osmosys.co/incident-reporter/incident-reporter-app", "OQSHA Mobile App")</f>
        <v/>
      </c>
      <c r="F2271">
        <f>HYPERLINK("http://gitlab.osmosys.co/incident-reporter/incident-reporter-app/-/merge_requests/1809", "feat: implement moc clarification")</f>
        <v/>
      </c>
      <c r="G2271" t="inlineStr">
        <is>
          <t>feat/moc-clarification</t>
        </is>
      </c>
      <c r="H2271" t="inlineStr">
        <is>
          <t>sprint-17</t>
        </is>
      </c>
      <c r="I2271" t="inlineStr">
        <is>
          <t>merged</t>
        </is>
      </c>
      <c r="J2271" t="inlineStr">
        <is>
          <t>9313e4562211408909998696d2f5ed2b1d6191fb</t>
        </is>
      </c>
      <c r="K2271">
        <f>HYPERLINK("http://gitlab.osmosys.co/incident-reporter/incident-reporter-app/-/merge_requests/1809#note_240007", "Don't specify unit with zero -- fix it everywhere")</f>
        <v/>
      </c>
      <c r="L2271" t="inlineStr">
        <is>
          <t>2025-07-22 12:13:13.652 IST</t>
        </is>
      </c>
      <c r="M2271" t="inlineStr">
        <is>
          <t>Soundariya B</t>
        </is>
      </c>
      <c r="N2271" t="inlineStr">
        <is>
          <t>Yes</t>
        </is>
      </c>
      <c r="O2271" t="inlineStr">
        <is>
          <t>Yes</t>
        </is>
      </c>
      <c r="P2271" t="inlineStr">
        <is>
          <t>Soundariya B</t>
        </is>
      </c>
      <c r="Q2271" t="inlineStr">
        <is>
          <t>Bad</t>
        </is>
      </c>
    </row>
    <row r="2272">
      <c r="A2272" t="inlineStr">
        <is>
          <t>dhruv.p</t>
        </is>
      </c>
      <c r="B2272" t="inlineStr">
        <is>
          <t>Dhruv Pahadia</t>
        </is>
      </c>
      <c r="C2272" t="inlineStr">
        <is>
          <t>dhruv.p@osmosys.co</t>
        </is>
      </c>
      <c r="D2272" t="inlineStr">
        <is>
          <t>incident-reporter</t>
        </is>
      </c>
      <c r="E2272">
        <f>HYPERLINK("http://gitlab.osmosys.co/incident-reporter/incident-reporter-app", "OQSHA Mobile App")</f>
        <v/>
      </c>
      <c r="F2272">
        <f>HYPERLINK("http://gitlab.osmosys.co/incident-reporter/incident-reporter-app/-/merge_requests/1809", "feat: implement moc clarification")</f>
        <v/>
      </c>
      <c r="G2272" t="inlineStr">
        <is>
          <t>feat/moc-clarification</t>
        </is>
      </c>
      <c r="H2272" t="inlineStr">
        <is>
          <t>sprint-17</t>
        </is>
      </c>
      <c r="I2272" t="inlineStr">
        <is>
          <t>merged</t>
        </is>
      </c>
      <c r="J2272" t="inlineStr">
        <is>
          <t>9313e4562211408909998696d2f5ed2b1d6191fb</t>
        </is>
      </c>
      <c r="K2272">
        <f>HYPERLINK("http://gitlab.osmosys.co/incident-reporter/incident-reporter-app/-/merge_requests/1809#note_240063", "Removed as it was not necessary")</f>
        <v/>
      </c>
      <c r="L2272" t="inlineStr">
        <is>
          <t>2025-07-22 12:32:14.266 IST</t>
        </is>
      </c>
      <c r="M2272" t="inlineStr">
        <is>
          <t>Dhruv Pahadia</t>
        </is>
      </c>
      <c r="N2272" t="inlineStr">
        <is>
          <t>No</t>
        </is>
      </c>
      <c r="O2272" t="inlineStr">
        <is>
          <t>Yes</t>
        </is>
      </c>
      <c r="P2272" t="inlineStr">
        <is>
          <t>Soundariya B</t>
        </is>
      </c>
      <c r="Q2272" t="inlineStr">
        <is>
          <t>Bad</t>
        </is>
      </c>
    </row>
    <row r="2273">
      <c r="A2273" t="inlineStr">
        <is>
          <t>dhruv.p</t>
        </is>
      </c>
      <c r="B2273" t="inlineStr">
        <is>
          <t>Dhruv Pahadia</t>
        </is>
      </c>
      <c r="C2273" t="inlineStr">
        <is>
          <t>dhruv.p@osmosys.co</t>
        </is>
      </c>
      <c r="D2273" t="inlineStr">
        <is>
          <t>incident-reporter</t>
        </is>
      </c>
      <c r="E2273">
        <f>HYPERLINK("http://gitlab.osmosys.co/incident-reporter/incident-reporter-app", "OQSHA Mobile App")</f>
        <v/>
      </c>
      <c r="F2273">
        <f>HYPERLINK("http://gitlab.osmosys.co/incident-reporter/incident-reporter-app/-/merge_requests/1809", "feat: implement moc clarification")</f>
        <v/>
      </c>
      <c r="G2273" t="inlineStr">
        <is>
          <t>feat/moc-clarification</t>
        </is>
      </c>
      <c r="H2273" t="inlineStr">
        <is>
          <t>sprint-17</t>
        </is>
      </c>
      <c r="I2273" t="inlineStr">
        <is>
          <t>merged</t>
        </is>
      </c>
      <c r="J2273" t="inlineStr">
        <is>
          <t>177b54fbd053c3ae52572a8199b33800136ef8f0</t>
        </is>
      </c>
      <c r="K2273">
        <f>HYPERLINK("http://gitlab.osmosys.co/incident-reporter/incident-reporter-app/-/merge_requests/1809#note_240008", "Please all unnecessary CSS I think we don't need the ptw CSS")</f>
        <v/>
      </c>
      <c r="L2273" t="inlineStr">
        <is>
          <t>2025-07-22 12:13:13.733 IST</t>
        </is>
      </c>
      <c r="M2273" t="inlineStr">
        <is>
          <t>Soundariya B</t>
        </is>
      </c>
      <c r="N2273" t="inlineStr">
        <is>
          <t>Yes</t>
        </is>
      </c>
      <c r="O2273" t="inlineStr">
        <is>
          <t>Yes</t>
        </is>
      </c>
      <c r="P2273" t="inlineStr">
        <is>
          <t>Soundariya B</t>
        </is>
      </c>
      <c r="Q2273" t="inlineStr">
        <is>
          <t>Bad</t>
        </is>
      </c>
    </row>
    <row r="2274">
      <c r="A2274" t="inlineStr">
        <is>
          <t>dhruv.p</t>
        </is>
      </c>
      <c r="B2274" t="inlineStr">
        <is>
          <t>Dhruv Pahadia</t>
        </is>
      </c>
      <c r="C2274" t="inlineStr">
        <is>
          <t>dhruv.p@osmosys.co</t>
        </is>
      </c>
      <c r="D2274" t="inlineStr">
        <is>
          <t>incident-reporter</t>
        </is>
      </c>
      <c r="E2274">
        <f>HYPERLINK("http://gitlab.osmosys.co/incident-reporter/incident-reporter-app", "OQSHA Mobile App")</f>
        <v/>
      </c>
      <c r="F2274">
        <f>HYPERLINK("http://gitlab.osmosys.co/incident-reporter/incident-reporter-app/-/merge_requests/1809", "feat: implement moc clarification")</f>
        <v/>
      </c>
      <c r="G2274" t="inlineStr">
        <is>
          <t>feat/moc-clarification</t>
        </is>
      </c>
      <c r="H2274" t="inlineStr">
        <is>
          <t>sprint-17</t>
        </is>
      </c>
      <c r="I2274" t="inlineStr">
        <is>
          <t>merged</t>
        </is>
      </c>
      <c r="J2274" t="inlineStr">
        <is>
          <t>177b54fbd053c3ae52572a8199b33800136ef8f0</t>
        </is>
      </c>
      <c r="K2274">
        <f>HYPERLINK("http://gitlab.osmosys.co/incident-reporter/incident-reporter-app/-/merge_requests/1809#note_240064", "Removed as it was not necessary")</f>
        <v/>
      </c>
      <c r="L2274" t="inlineStr">
        <is>
          <t>2025-07-22 12:32:19.194 IST</t>
        </is>
      </c>
      <c r="M2274" t="inlineStr">
        <is>
          <t>Dhruv Pahadia</t>
        </is>
      </c>
      <c r="N2274" t="inlineStr">
        <is>
          <t>No</t>
        </is>
      </c>
      <c r="O2274" t="inlineStr">
        <is>
          <t>Yes</t>
        </is>
      </c>
      <c r="P2274" t="inlineStr">
        <is>
          <t>Soundariya B</t>
        </is>
      </c>
      <c r="Q2274" t="inlineStr">
        <is>
          <t>Bad</t>
        </is>
      </c>
    </row>
    <row r="2275">
      <c r="A2275" t="inlineStr">
        <is>
          <t>dhruv.p</t>
        </is>
      </c>
      <c r="B2275" t="inlineStr">
        <is>
          <t>Dhruv Pahadia</t>
        </is>
      </c>
      <c r="C2275" t="inlineStr">
        <is>
          <t>dhruv.p@osmosys.co</t>
        </is>
      </c>
      <c r="D2275" t="inlineStr">
        <is>
          <t>incident-reporter</t>
        </is>
      </c>
      <c r="E2275">
        <f>HYPERLINK("http://gitlab.osmosys.co/incident-reporter/incident-reporter-app", "OQSHA Mobile App")</f>
        <v/>
      </c>
      <c r="F2275">
        <f>HYPERLINK("http://gitlab.osmosys.co/incident-reporter/incident-reporter-app/-/merge_requests/1809", "feat: implement moc clarification")</f>
        <v/>
      </c>
      <c r="G2275" t="inlineStr">
        <is>
          <t>feat/moc-clarification</t>
        </is>
      </c>
      <c r="H2275" t="inlineStr">
        <is>
          <t>sprint-17</t>
        </is>
      </c>
      <c r="I2275" t="inlineStr">
        <is>
          <t>merged</t>
        </is>
      </c>
      <c r="J2275" t="inlineStr">
        <is>
          <t>db1b78aa030b06a0a6b282ab6bfac5f095f3eb15</t>
        </is>
      </c>
      <c r="K2275">
        <f>HYPERLINK("http://gitlab.osmosys.co/incident-reporter/incident-reporter-app/-/merge_requests/1809#note_240009", "Duplicated CSS")</f>
        <v/>
      </c>
      <c r="L2275" t="inlineStr">
        <is>
          <t>2025-07-22 12:13:13.804 IST</t>
        </is>
      </c>
      <c r="M2275" t="inlineStr">
        <is>
          <t>Soundariya B</t>
        </is>
      </c>
      <c r="N2275" t="inlineStr">
        <is>
          <t>Yes</t>
        </is>
      </c>
      <c r="O2275" t="inlineStr">
        <is>
          <t>Yes</t>
        </is>
      </c>
      <c r="P2275" t="inlineStr">
        <is>
          <t>Soundariya B</t>
        </is>
      </c>
      <c r="Q2275" t="inlineStr">
        <is>
          <t>Bad</t>
        </is>
      </c>
    </row>
    <row r="2276">
      <c r="A2276" t="inlineStr">
        <is>
          <t>dhruv.p</t>
        </is>
      </c>
      <c r="B2276" t="inlineStr">
        <is>
          <t>Dhruv Pahadia</t>
        </is>
      </c>
      <c r="C2276" t="inlineStr">
        <is>
          <t>dhruv.p@osmosys.co</t>
        </is>
      </c>
      <c r="D2276" t="inlineStr">
        <is>
          <t>incident-reporter</t>
        </is>
      </c>
      <c r="E2276">
        <f>HYPERLINK("http://gitlab.osmosys.co/incident-reporter/incident-reporter-app", "OQSHA Mobile App")</f>
        <v/>
      </c>
      <c r="F2276">
        <f>HYPERLINK("http://gitlab.osmosys.co/incident-reporter/incident-reporter-app/-/merge_requests/1809", "feat: implement moc clarification")</f>
        <v/>
      </c>
      <c r="G2276" t="inlineStr">
        <is>
          <t>feat/moc-clarification</t>
        </is>
      </c>
      <c r="H2276" t="inlineStr">
        <is>
          <t>sprint-17</t>
        </is>
      </c>
      <c r="I2276" t="inlineStr">
        <is>
          <t>merged</t>
        </is>
      </c>
      <c r="J2276" t="inlineStr">
        <is>
          <t>db1b78aa030b06a0a6b282ab6bfac5f095f3eb15</t>
        </is>
      </c>
      <c r="K2276">
        <f>HYPERLINK("http://gitlab.osmosys.co/incident-reporter/incident-reporter-app/-/merge_requests/1809#note_240065", "Removed as it was not necessary")</f>
        <v/>
      </c>
      <c r="L2276" t="inlineStr">
        <is>
          <t>2025-07-22 12:32:23.016 IST</t>
        </is>
      </c>
      <c r="M2276" t="inlineStr">
        <is>
          <t>Dhruv Pahadia</t>
        </is>
      </c>
      <c r="N2276" t="inlineStr">
        <is>
          <t>No</t>
        </is>
      </c>
      <c r="O2276" t="inlineStr">
        <is>
          <t>Yes</t>
        </is>
      </c>
      <c r="P2276" t="inlineStr">
        <is>
          <t>Soundariya B</t>
        </is>
      </c>
      <c r="Q2276" t="inlineStr">
        <is>
          <t>Bad</t>
        </is>
      </c>
    </row>
    <row r="2277">
      <c r="A2277" t="inlineStr">
        <is>
          <t>dhruv.p</t>
        </is>
      </c>
      <c r="B2277" t="inlineStr">
        <is>
          <t>Dhruv Pahadia</t>
        </is>
      </c>
      <c r="C2277" t="inlineStr">
        <is>
          <t>dhruv.p@osmosys.co</t>
        </is>
      </c>
      <c r="D2277" t="inlineStr">
        <is>
          <t>incident-reporter</t>
        </is>
      </c>
      <c r="E2277">
        <f>HYPERLINK("http://gitlab.osmosys.co/incident-reporter/incident-reporter-app", "OQSHA Mobile App")</f>
        <v/>
      </c>
      <c r="F2277">
        <f>HYPERLINK("http://gitlab.osmosys.co/incident-reporter/incident-reporter-app/-/merge_requests/1809", "feat: implement moc clarification")</f>
        <v/>
      </c>
      <c r="G2277" t="inlineStr">
        <is>
          <t>feat/moc-clarification</t>
        </is>
      </c>
      <c r="H2277" t="inlineStr">
        <is>
          <t>sprint-17</t>
        </is>
      </c>
      <c r="I2277" t="inlineStr">
        <is>
          <t>merged</t>
        </is>
      </c>
      <c r="J2277" t="inlineStr">
        <is>
          <t>b6bdd112e6159b8151230908c1a57db6567d39b6</t>
        </is>
      </c>
      <c r="K2277">
        <f>HYPERLINK("http://gitlab.osmosys.co/incident-reporter/incident-reporter-app/-/merge_requests/1809#note_240010", "Many things needs to fix in this CSS file please ref above threads")</f>
        <v/>
      </c>
      <c r="L2277" t="inlineStr">
        <is>
          <t>2025-07-22 12:13:13.855 IST</t>
        </is>
      </c>
      <c r="M2277" t="inlineStr">
        <is>
          <t>Soundariya B</t>
        </is>
      </c>
      <c r="N2277" t="inlineStr">
        <is>
          <t>Yes</t>
        </is>
      </c>
      <c r="O2277" t="inlineStr">
        <is>
          <t>Yes</t>
        </is>
      </c>
      <c r="P2277" t="inlineStr">
        <is>
          <t>Soundariya B</t>
        </is>
      </c>
      <c r="Q2277" t="inlineStr">
        <is>
          <t>Bad</t>
        </is>
      </c>
    </row>
    <row r="2278">
      <c r="A2278" t="inlineStr">
        <is>
          <t>dhruv.p</t>
        </is>
      </c>
      <c r="B2278" t="inlineStr">
        <is>
          <t>Dhruv Pahadia</t>
        </is>
      </c>
      <c r="C2278" t="inlineStr">
        <is>
          <t>dhruv.p@osmosys.co</t>
        </is>
      </c>
      <c r="D2278" t="inlineStr">
        <is>
          <t>incident-reporter</t>
        </is>
      </c>
      <c r="E2278">
        <f>HYPERLINK("http://gitlab.osmosys.co/incident-reporter/incident-reporter-app", "OQSHA Mobile App")</f>
        <v/>
      </c>
      <c r="F2278">
        <f>HYPERLINK("http://gitlab.osmosys.co/incident-reporter/incident-reporter-app/-/merge_requests/1809", "feat: implement moc clarification")</f>
        <v/>
      </c>
      <c r="G2278" t="inlineStr">
        <is>
          <t>feat/moc-clarification</t>
        </is>
      </c>
      <c r="H2278" t="inlineStr">
        <is>
          <t>sprint-17</t>
        </is>
      </c>
      <c r="I2278" t="inlineStr">
        <is>
          <t>merged</t>
        </is>
      </c>
      <c r="J2278" t="inlineStr">
        <is>
          <t>b6bdd112e6159b8151230908c1a57db6567d39b6</t>
        </is>
      </c>
      <c r="K2278">
        <f>HYPERLINK("http://gitlab.osmosys.co/incident-reporter/incident-reporter-app/-/merge_requests/1809#note_240066", "Fixed")</f>
        <v/>
      </c>
      <c r="L2278" t="inlineStr">
        <is>
          <t>2025-07-22 12:32:30.919 IST</t>
        </is>
      </c>
      <c r="M2278" t="inlineStr">
        <is>
          <t>Dhruv Pahadia</t>
        </is>
      </c>
      <c r="N2278" t="inlineStr">
        <is>
          <t>No</t>
        </is>
      </c>
      <c r="O2278" t="inlineStr">
        <is>
          <t>Yes</t>
        </is>
      </c>
      <c r="P2278" t="inlineStr">
        <is>
          <t>Soundariya B</t>
        </is>
      </c>
      <c r="Q2278" t="inlineStr">
        <is>
          <t>Bad</t>
        </is>
      </c>
    </row>
    <row r="2279">
      <c r="A2279" t="inlineStr">
        <is>
          <t>dhruv.p</t>
        </is>
      </c>
      <c r="B2279" t="inlineStr">
        <is>
          <t>Dhruv Pahadia</t>
        </is>
      </c>
      <c r="C2279" t="inlineStr">
        <is>
          <t>dhruv.p@osmosys.co</t>
        </is>
      </c>
      <c r="D2279" t="inlineStr">
        <is>
          <t>incident-reporter</t>
        </is>
      </c>
      <c r="E2279">
        <f>HYPERLINK("http://gitlab.osmosys.co/incident-reporter/incident-reporter-app", "OQSHA Mobile App")</f>
        <v/>
      </c>
      <c r="F2279">
        <f>HYPERLINK("http://gitlab.osmosys.co/incident-reporter/incident-reporter-app/-/merge_requests/1809", "feat: implement moc clarification")</f>
        <v/>
      </c>
      <c r="G2279" t="inlineStr">
        <is>
          <t>feat/moc-clarification</t>
        </is>
      </c>
      <c r="H2279" t="inlineStr">
        <is>
          <t>sprint-17</t>
        </is>
      </c>
      <c r="I2279" t="inlineStr">
        <is>
          <t>merged</t>
        </is>
      </c>
      <c r="J2279" t="inlineStr">
        <is>
          <t>f95ca04cb2c30c5709cd7de57e875af015e415b0</t>
        </is>
      </c>
      <c r="K2279">
        <f>HYPERLINK("http://gitlab.osmosys.co/incident-reporter/incident-reporter-app/-/merge_requests/1809#note_240011", "Is these all CSS really need for the one page?")</f>
        <v/>
      </c>
      <c r="L2279" t="inlineStr">
        <is>
          <t>2025-07-22 12:13:13.918 IST</t>
        </is>
      </c>
      <c r="M2279" t="inlineStr">
        <is>
          <t>Soundariya B</t>
        </is>
      </c>
      <c r="N2279" t="inlineStr">
        <is>
          <t>Yes</t>
        </is>
      </c>
      <c r="O2279" t="inlineStr">
        <is>
          <t>Yes</t>
        </is>
      </c>
      <c r="P2279" t="inlineStr">
        <is>
          <t>Soundariya B</t>
        </is>
      </c>
      <c r="Q2279" t="inlineStr">
        <is>
          <t>Bad</t>
        </is>
      </c>
    </row>
    <row r="2280">
      <c r="A2280" t="inlineStr">
        <is>
          <t>dhruv.p</t>
        </is>
      </c>
      <c r="B2280" t="inlineStr">
        <is>
          <t>Dhruv Pahadia</t>
        </is>
      </c>
      <c r="C2280" t="inlineStr">
        <is>
          <t>dhruv.p@osmosys.co</t>
        </is>
      </c>
      <c r="D2280" t="inlineStr">
        <is>
          <t>incident-reporter</t>
        </is>
      </c>
      <c r="E2280">
        <f>HYPERLINK("http://gitlab.osmosys.co/incident-reporter/incident-reporter-app", "OQSHA Mobile App")</f>
        <v/>
      </c>
      <c r="F2280">
        <f>HYPERLINK("http://gitlab.osmosys.co/incident-reporter/incident-reporter-app/-/merge_requests/1809", "feat: implement moc clarification")</f>
        <v/>
      </c>
      <c r="G2280" t="inlineStr">
        <is>
          <t>feat/moc-clarification</t>
        </is>
      </c>
      <c r="H2280" t="inlineStr">
        <is>
          <t>sprint-17</t>
        </is>
      </c>
      <c r="I2280" t="inlineStr">
        <is>
          <t>merged</t>
        </is>
      </c>
      <c r="J2280" t="inlineStr">
        <is>
          <t>f95ca04cb2c30c5709cd7de57e875af015e415b0</t>
        </is>
      </c>
      <c r="K2280">
        <f>HYPERLINK("http://gitlab.osmosys.co/incident-reporter/incident-reporter-app/-/merge_requests/1809#note_240067", "Removed as it was not necessary")</f>
        <v/>
      </c>
      <c r="L2280" t="inlineStr">
        <is>
          <t>2025-07-22 12:32:35.024 IST</t>
        </is>
      </c>
      <c r="M2280" t="inlineStr">
        <is>
          <t>Dhruv Pahadia</t>
        </is>
      </c>
      <c r="N2280" t="inlineStr">
        <is>
          <t>No</t>
        </is>
      </c>
      <c r="O2280" t="inlineStr">
        <is>
          <t>Yes</t>
        </is>
      </c>
      <c r="P2280" t="inlineStr">
        <is>
          <t>Soundariya B</t>
        </is>
      </c>
      <c r="Q2280" t="inlineStr">
        <is>
          <t>Bad</t>
        </is>
      </c>
    </row>
    <row r="2281">
      <c r="A2281" t="inlineStr">
        <is>
          <t>dhruv.p</t>
        </is>
      </c>
      <c r="B2281" t="inlineStr">
        <is>
          <t>Dhruv Pahadia</t>
        </is>
      </c>
      <c r="C2281" t="inlineStr">
        <is>
          <t>dhruv.p@osmosys.co</t>
        </is>
      </c>
      <c r="D2281" t="inlineStr">
        <is>
          <t>incident-reporter</t>
        </is>
      </c>
      <c r="E2281">
        <f>HYPERLINK("http://gitlab.osmosys.co/incident-reporter/incident-reporter-app", "OQSHA Mobile App")</f>
        <v/>
      </c>
      <c r="F2281">
        <f>HYPERLINK("http://gitlab.osmosys.co/incident-reporter/incident-reporter-app/-/merge_requests/1809", "feat: implement moc clarification")</f>
        <v/>
      </c>
      <c r="G2281" t="inlineStr">
        <is>
          <t>feat/moc-clarification</t>
        </is>
      </c>
      <c r="H2281" t="inlineStr">
        <is>
          <t>sprint-17</t>
        </is>
      </c>
      <c r="I2281" t="inlineStr">
        <is>
          <t>merged</t>
        </is>
      </c>
      <c r="J2281" t="inlineStr">
        <is>
          <t>4a4196ab2812a1df22d142aafebf765c7c224efb</t>
        </is>
      </c>
      <c r="K2281">
        <f>HYPERLINK("http://gitlab.osmosys.co/incident-reporter/incident-reporter-app/-/merge_requests/1809#note_240012", "All these should in each line which will give clear code and more readiability")</f>
        <v/>
      </c>
      <c r="L2281" t="inlineStr">
        <is>
          <t>2025-07-22 12:13:13.997 IST</t>
        </is>
      </c>
      <c r="M2281" t="inlineStr">
        <is>
          <t>Soundariya B</t>
        </is>
      </c>
      <c r="N2281" t="inlineStr">
        <is>
          <t>Yes</t>
        </is>
      </c>
      <c r="O2281" t="inlineStr">
        <is>
          <t>Yes</t>
        </is>
      </c>
      <c r="P2281" t="inlineStr">
        <is>
          <t>Soundariya B</t>
        </is>
      </c>
      <c r="Q2281" t="inlineStr">
        <is>
          <t>Bad</t>
        </is>
      </c>
    </row>
    <row r="2282">
      <c r="A2282" t="inlineStr">
        <is>
          <t>dhruv.p</t>
        </is>
      </c>
      <c r="B2282" t="inlineStr">
        <is>
          <t>Dhruv Pahadia</t>
        </is>
      </c>
      <c r="C2282" t="inlineStr">
        <is>
          <t>dhruv.p@osmosys.co</t>
        </is>
      </c>
      <c r="D2282" t="inlineStr">
        <is>
          <t>incident-reporter</t>
        </is>
      </c>
      <c r="E2282">
        <f>HYPERLINK("http://gitlab.osmosys.co/incident-reporter/incident-reporter-app", "OQSHA Mobile App")</f>
        <v/>
      </c>
      <c r="F2282">
        <f>HYPERLINK("http://gitlab.osmosys.co/incident-reporter/incident-reporter-app/-/merge_requests/1809", "feat: implement moc clarification")</f>
        <v/>
      </c>
      <c r="G2282" t="inlineStr">
        <is>
          <t>feat/moc-clarification</t>
        </is>
      </c>
      <c r="H2282" t="inlineStr">
        <is>
          <t>sprint-17</t>
        </is>
      </c>
      <c r="I2282" t="inlineStr">
        <is>
          <t>merged</t>
        </is>
      </c>
      <c r="J2282" t="inlineStr">
        <is>
          <t>4a4196ab2812a1df22d142aafebf765c7c224efb</t>
        </is>
      </c>
      <c r="K2282">
        <f>HYPERLINK("http://gitlab.osmosys.co/incident-reporter/incident-reporter-app/-/merge_requests/1809#note_240070", "fixed")</f>
        <v/>
      </c>
      <c r="L2282" t="inlineStr">
        <is>
          <t>2025-07-22 12:34:06.034 IST</t>
        </is>
      </c>
      <c r="M2282" t="inlineStr">
        <is>
          <t>Dhruv Pahadia</t>
        </is>
      </c>
      <c r="N2282" t="inlineStr">
        <is>
          <t>No</t>
        </is>
      </c>
      <c r="O2282" t="inlineStr">
        <is>
          <t>Yes</t>
        </is>
      </c>
      <c r="P2282" t="inlineStr">
        <is>
          <t>Soundariya B</t>
        </is>
      </c>
      <c r="Q2282" t="inlineStr">
        <is>
          <t>Bad</t>
        </is>
      </c>
    </row>
    <row r="2283">
      <c r="A2283" t="inlineStr">
        <is>
          <t>dhruv.p</t>
        </is>
      </c>
      <c r="B2283" t="inlineStr">
        <is>
          <t>Dhruv Pahadia</t>
        </is>
      </c>
      <c r="C2283" t="inlineStr">
        <is>
          <t>dhruv.p@osmosys.co</t>
        </is>
      </c>
      <c r="D2283" t="inlineStr">
        <is>
          <t>incident-reporter</t>
        </is>
      </c>
      <c r="E2283">
        <f>HYPERLINK("http://gitlab.osmosys.co/incident-reporter/incident-reporter-app", "OQSHA Mobile App")</f>
        <v/>
      </c>
      <c r="F2283">
        <f>HYPERLINK("http://gitlab.osmosys.co/incident-reporter/incident-reporter-app/-/merge_requests/1809", "feat: implement moc clarification")</f>
        <v/>
      </c>
      <c r="G2283" t="inlineStr">
        <is>
          <t>feat/moc-clarification</t>
        </is>
      </c>
      <c r="H2283" t="inlineStr">
        <is>
          <t>sprint-17</t>
        </is>
      </c>
      <c r="I2283" t="inlineStr">
        <is>
          <t>merged</t>
        </is>
      </c>
      <c r="J2283" t="inlineStr">
        <is>
          <t>f19b6688b138c647ffbd83e1c16a6c174284e0a5</t>
        </is>
      </c>
      <c r="K2283">
        <f>HYPERLINK("http://gitlab.osmosys.co/incident-reporter/incident-reporter-app/-/merge_requests/1809#note_240013", "The alert header name should take from lang files")</f>
        <v/>
      </c>
      <c r="L2283" t="inlineStr">
        <is>
          <t>2025-07-22 12:13:14.049 IST</t>
        </is>
      </c>
      <c r="M2283" t="inlineStr">
        <is>
          <t>Soundariya B</t>
        </is>
      </c>
      <c r="N2283" t="inlineStr">
        <is>
          <t>Yes</t>
        </is>
      </c>
      <c r="O2283" t="inlineStr">
        <is>
          <t>Yes</t>
        </is>
      </c>
      <c r="P2283" t="inlineStr">
        <is>
          <t>Soundariya B</t>
        </is>
      </c>
      <c r="Q2283" t="inlineStr">
        <is>
          <t>Neutral</t>
        </is>
      </c>
    </row>
    <row r="2284">
      <c r="A2284" t="inlineStr">
        <is>
          <t>dhruv.p</t>
        </is>
      </c>
      <c r="B2284" t="inlineStr">
        <is>
          <t>Dhruv Pahadia</t>
        </is>
      </c>
      <c r="C2284" t="inlineStr">
        <is>
          <t>dhruv.p@osmosys.co</t>
        </is>
      </c>
      <c r="D2284" t="inlineStr">
        <is>
          <t>incident-reporter</t>
        </is>
      </c>
      <c r="E2284">
        <f>HYPERLINK("http://gitlab.osmosys.co/incident-reporter/incident-reporter-app", "OQSHA Mobile App")</f>
        <v/>
      </c>
      <c r="F2284">
        <f>HYPERLINK("http://gitlab.osmosys.co/incident-reporter/incident-reporter-app/-/merge_requests/1809", "feat: implement moc clarification")</f>
        <v/>
      </c>
      <c r="G2284" t="inlineStr">
        <is>
          <t>feat/moc-clarification</t>
        </is>
      </c>
      <c r="H2284" t="inlineStr">
        <is>
          <t>sprint-17</t>
        </is>
      </c>
      <c r="I2284" t="inlineStr">
        <is>
          <t>merged</t>
        </is>
      </c>
      <c r="J2284" t="inlineStr">
        <is>
          <t>f19b6688b138c647ffbd83e1c16a6c174284e0a5</t>
        </is>
      </c>
      <c r="K2284">
        <f>HYPERLINK("http://gitlab.osmosys.co/incident-reporter/incident-reporter-app/-/merge_requests/1809#note_240075", "its dynamic and will depend on the field name only, I cant hardcode this")</f>
        <v/>
      </c>
      <c r="L2284" t="inlineStr">
        <is>
          <t>2025-07-22 12:37:19.661 IST</t>
        </is>
      </c>
      <c r="M2284" t="inlineStr">
        <is>
          <t>Dhruv Pahadia</t>
        </is>
      </c>
      <c r="N2284" t="inlineStr">
        <is>
          <t>No</t>
        </is>
      </c>
      <c r="O2284" t="inlineStr">
        <is>
          <t>Yes</t>
        </is>
      </c>
      <c r="P2284" t="inlineStr">
        <is>
          <t>Soundariya B</t>
        </is>
      </c>
      <c r="Q2284" t="inlineStr">
        <is>
          <t>Neutral</t>
        </is>
      </c>
    </row>
    <row r="2285">
      <c r="A2285" t="inlineStr">
        <is>
          <t>dhruv.p</t>
        </is>
      </c>
      <c r="B2285" t="inlineStr">
        <is>
          <t>Dhruv Pahadia</t>
        </is>
      </c>
      <c r="C2285" t="inlineStr">
        <is>
          <t>dhruv.p@osmosys.co</t>
        </is>
      </c>
      <c r="D2285" t="inlineStr">
        <is>
          <t>incident-reporter</t>
        </is>
      </c>
      <c r="E2285">
        <f>HYPERLINK("http://gitlab.osmosys.co/incident-reporter/incident-reporter-app", "OQSHA Mobile App")</f>
        <v/>
      </c>
      <c r="F2285">
        <f>HYPERLINK("http://gitlab.osmosys.co/incident-reporter/incident-reporter-app/-/merge_requests/1809", "feat: implement moc clarification")</f>
        <v/>
      </c>
      <c r="G2285" t="inlineStr">
        <is>
          <t>feat/moc-clarification</t>
        </is>
      </c>
      <c r="H2285" t="inlineStr">
        <is>
          <t>sprint-17</t>
        </is>
      </c>
      <c r="I2285" t="inlineStr">
        <is>
          <t>merged</t>
        </is>
      </c>
      <c r="J2285" t="inlineStr">
        <is>
          <t>19f39139923bc30d785079498ad128a80e2ec5ec</t>
        </is>
      </c>
      <c r="K2285">
        <f>HYPERLINK("http://gitlab.osmosys.co/incident-reporter/incident-reporter-app/-/merge_requests/1809#note_240014", "Take from lang files")</f>
        <v/>
      </c>
      <c r="L2285" t="inlineStr">
        <is>
          <t>2025-07-22 12:13:14.100 IST</t>
        </is>
      </c>
      <c r="M2285" t="inlineStr">
        <is>
          <t>Soundariya B</t>
        </is>
      </c>
      <c r="N2285" t="inlineStr">
        <is>
          <t>Yes</t>
        </is>
      </c>
      <c r="O2285" t="inlineStr">
        <is>
          <t>Yes</t>
        </is>
      </c>
      <c r="P2285" t="inlineStr">
        <is>
          <t>Soundariya B</t>
        </is>
      </c>
      <c r="Q2285" t="inlineStr">
        <is>
          <t>Bad</t>
        </is>
      </c>
    </row>
    <row r="2286">
      <c r="A2286" t="inlineStr">
        <is>
          <t>dhruv.p</t>
        </is>
      </c>
      <c r="B2286" t="inlineStr">
        <is>
          <t>Dhruv Pahadia</t>
        </is>
      </c>
      <c r="C2286" t="inlineStr">
        <is>
          <t>dhruv.p@osmosys.co</t>
        </is>
      </c>
      <c r="D2286" t="inlineStr">
        <is>
          <t>incident-reporter</t>
        </is>
      </c>
      <c r="E2286">
        <f>HYPERLINK("http://gitlab.osmosys.co/incident-reporter/incident-reporter-app", "OQSHA Mobile App")</f>
        <v/>
      </c>
      <c r="F2286">
        <f>HYPERLINK("http://gitlab.osmosys.co/incident-reporter/incident-reporter-app/-/merge_requests/1809", "feat: implement moc clarification")</f>
        <v/>
      </c>
      <c r="G2286" t="inlineStr">
        <is>
          <t>feat/moc-clarification</t>
        </is>
      </c>
      <c r="H2286" t="inlineStr">
        <is>
          <t>sprint-17</t>
        </is>
      </c>
      <c r="I2286" t="inlineStr">
        <is>
          <t>merged</t>
        </is>
      </c>
      <c r="J2286" t="inlineStr">
        <is>
          <t>19f39139923bc30d785079498ad128a80e2ec5ec</t>
        </is>
      </c>
      <c r="K2286">
        <f>HYPERLINK("http://gitlab.osmosys.co/incident-reporter/incident-reporter-app/-/merge_requests/1809#note_240094", "Fixed")</f>
        <v/>
      </c>
      <c r="L2286" t="inlineStr">
        <is>
          <t>2025-07-22 12:40:31.610 IST</t>
        </is>
      </c>
      <c r="M2286" t="inlineStr">
        <is>
          <t>Dhruv Pahadia</t>
        </is>
      </c>
      <c r="N2286" t="inlineStr">
        <is>
          <t>No</t>
        </is>
      </c>
      <c r="O2286" t="inlineStr">
        <is>
          <t>Yes</t>
        </is>
      </c>
      <c r="P2286" t="inlineStr">
        <is>
          <t>Soundariya B</t>
        </is>
      </c>
      <c r="Q2286" t="inlineStr">
        <is>
          <t>Bad</t>
        </is>
      </c>
    </row>
    <row r="2287">
      <c r="A2287" t="inlineStr">
        <is>
          <t>dhruv.p</t>
        </is>
      </c>
      <c r="B2287" t="inlineStr">
        <is>
          <t>Dhruv Pahadia</t>
        </is>
      </c>
      <c r="C2287" t="inlineStr">
        <is>
          <t>dhruv.p@osmosys.co</t>
        </is>
      </c>
      <c r="D2287" t="inlineStr">
        <is>
          <t>incident-reporter</t>
        </is>
      </c>
      <c r="E2287">
        <f>HYPERLINK("http://gitlab.osmosys.co/incident-reporter/incident-reporter-app", "OQSHA Mobile App")</f>
        <v/>
      </c>
      <c r="F2287">
        <f>HYPERLINK("http://gitlab.osmosys.co/incident-reporter/incident-reporter-app/-/merge_requests/1809", "feat: implement moc clarification")</f>
        <v/>
      </c>
      <c r="G2287" t="inlineStr">
        <is>
          <t>feat/moc-clarification</t>
        </is>
      </c>
      <c r="H2287" t="inlineStr">
        <is>
          <t>sprint-17</t>
        </is>
      </c>
      <c r="I2287" t="inlineStr">
        <is>
          <t>merged</t>
        </is>
      </c>
      <c r="J2287" t="inlineStr">
        <is>
          <t>e9c2c41054476fe8f71bd8a907443f34fa8e8c6a</t>
        </is>
      </c>
      <c r="K2287">
        <f>HYPERLINK("http://gitlab.osmosys.co/incident-reporter/incident-reporter-app/-/merge_requests/1809#note_240015", "Why using like this - "'clarification'"? Can't you take from constant files")</f>
        <v/>
      </c>
      <c r="L2287" t="inlineStr">
        <is>
          <t>2025-07-22 12:13:14.179 IST</t>
        </is>
      </c>
      <c r="M2287" t="inlineStr">
        <is>
          <t>Soundariya B</t>
        </is>
      </c>
      <c r="N2287" t="inlineStr">
        <is>
          <t>Yes</t>
        </is>
      </c>
      <c r="O2287" t="inlineStr">
        <is>
          <t>Yes</t>
        </is>
      </c>
      <c r="P2287" t="inlineStr">
        <is>
          <t>Soundariya B</t>
        </is>
      </c>
      <c r="Q2287" t="inlineStr">
        <is>
          <t>Neutral</t>
        </is>
      </c>
    </row>
    <row r="2288">
      <c r="A2288" t="inlineStr">
        <is>
          <t>dhruv.p</t>
        </is>
      </c>
      <c r="B2288" t="inlineStr">
        <is>
          <t>Dhruv Pahadia</t>
        </is>
      </c>
      <c r="C2288" t="inlineStr">
        <is>
          <t>dhruv.p@osmosys.co</t>
        </is>
      </c>
      <c r="D2288" t="inlineStr">
        <is>
          <t>incident-reporter</t>
        </is>
      </c>
      <c r="E2288">
        <f>HYPERLINK("http://gitlab.osmosys.co/incident-reporter/incident-reporter-app", "OQSHA Mobile App")</f>
        <v/>
      </c>
      <c r="F2288">
        <f>HYPERLINK("http://gitlab.osmosys.co/incident-reporter/incident-reporter-app/-/merge_requests/1809", "feat: implement moc clarification")</f>
        <v/>
      </c>
      <c r="G2288" t="inlineStr">
        <is>
          <t>feat/moc-clarification</t>
        </is>
      </c>
      <c r="H2288" t="inlineStr">
        <is>
          <t>sprint-17</t>
        </is>
      </c>
      <c r="I2288" t="inlineStr">
        <is>
          <t>merged</t>
        </is>
      </c>
      <c r="J2288" t="inlineStr">
        <is>
          <t>e9c2c41054476fe8f71bd8a907443f34fa8e8c6a</t>
        </is>
      </c>
      <c r="K2288">
        <f>HYPERLINK("http://gitlab.osmosys.co/incident-reporter/incident-reporter-app/-/merge_requests/1809#note_240071", "It must be insided strings because the "`ngSwitchCase` is matching with a string only")</f>
        <v/>
      </c>
      <c r="L2288" t="inlineStr">
        <is>
          <t>2025-07-22 12:35:24.721 IST</t>
        </is>
      </c>
      <c r="M2288" t="inlineStr">
        <is>
          <t>Dhruv Pahadia</t>
        </is>
      </c>
      <c r="N2288" t="inlineStr">
        <is>
          <t>No</t>
        </is>
      </c>
      <c r="O2288" t="inlineStr">
        <is>
          <t>Yes</t>
        </is>
      </c>
      <c r="P2288" t="inlineStr">
        <is>
          <t>Soundariya B</t>
        </is>
      </c>
      <c r="Q2288" t="inlineStr">
        <is>
          <t>Neutral</t>
        </is>
      </c>
    </row>
    <row r="2289">
      <c r="A2289" t="inlineStr">
        <is>
          <t>dhruv.p</t>
        </is>
      </c>
      <c r="B2289" t="inlineStr">
        <is>
          <t>Dhruv Pahadia</t>
        </is>
      </c>
      <c r="C2289" t="inlineStr">
        <is>
          <t>dhruv.p@osmosys.co</t>
        </is>
      </c>
      <c r="D2289" t="inlineStr">
        <is>
          <t>incident-reporter</t>
        </is>
      </c>
      <c r="E2289">
        <f>HYPERLINK("http://gitlab.osmosys.co/incident-reporter/incident-reporter-app", "OQSHA Mobile App")</f>
        <v/>
      </c>
      <c r="F2289">
        <f>HYPERLINK("http://gitlab.osmosys.co/incident-reporter/incident-reporter-app/-/merge_requests/1809", "feat: implement moc clarification")</f>
        <v/>
      </c>
      <c r="G2289" t="inlineStr">
        <is>
          <t>feat/moc-clarification</t>
        </is>
      </c>
      <c r="H2289" t="inlineStr">
        <is>
          <t>sprint-17</t>
        </is>
      </c>
      <c r="I2289" t="inlineStr">
        <is>
          <t>merged</t>
        </is>
      </c>
      <c r="J2289" t="inlineStr">
        <is>
          <t>3c22948382eeeedc16a269e69e0ea43d48323903</t>
        </is>
      </c>
      <c r="K2289">
        <f>HYPERLINK("http://gitlab.osmosys.co/incident-reporter/incident-reporter-app/-/merge_requests/1809#note_240016", "It should be Clarification(s)")</f>
        <v/>
      </c>
      <c r="L2289" t="inlineStr">
        <is>
          <t>2025-07-22 12:13:14.262 IST</t>
        </is>
      </c>
      <c r="M2289" t="inlineStr">
        <is>
          <t>Soundariya B</t>
        </is>
      </c>
      <c r="N2289" t="inlineStr">
        <is>
          <t>Yes</t>
        </is>
      </c>
      <c r="O2289" t="inlineStr">
        <is>
          <t>Yes</t>
        </is>
      </c>
      <c r="P2289" t="inlineStr">
        <is>
          <t>Soundariya B</t>
        </is>
      </c>
      <c r="Q2289" t="inlineStr">
        <is>
          <t>Bad</t>
        </is>
      </c>
    </row>
    <row r="2290">
      <c r="A2290" t="inlineStr">
        <is>
          <t>dhruv.p</t>
        </is>
      </c>
      <c r="B2290" t="inlineStr">
        <is>
          <t>Dhruv Pahadia</t>
        </is>
      </c>
      <c r="C2290" t="inlineStr">
        <is>
          <t>dhruv.p@osmosys.co</t>
        </is>
      </c>
      <c r="D2290" t="inlineStr">
        <is>
          <t>incident-reporter</t>
        </is>
      </c>
      <c r="E2290">
        <f>HYPERLINK("http://gitlab.osmosys.co/incident-reporter/incident-reporter-app", "OQSHA Mobile App")</f>
        <v/>
      </c>
      <c r="F2290">
        <f>HYPERLINK("http://gitlab.osmosys.co/incident-reporter/incident-reporter-app/-/merge_requests/1809", "feat: implement moc clarification")</f>
        <v/>
      </c>
      <c r="G2290" t="inlineStr">
        <is>
          <t>feat/moc-clarification</t>
        </is>
      </c>
      <c r="H2290" t="inlineStr">
        <is>
          <t>sprint-17</t>
        </is>
      </c>
      <c r="I2290" t="inlineStr">
        <is>
          <t>merged</t>
        </is>
      </c>
      <c r="J2290" t="inlineStr">
        <is>
          <t>3c22948382eeeedc16a269e69e0ea43d48323903</t>
        </is>
      </c>
      <c r="K2290">
        <f>HYPERLINK("http://gitlab.osmosys.co/incident-reporter/incident-reporter-app/-/merge_requests/1809#note_240076", "Fixed")</f>
        <v/>
      </c>
      <c r="L2290" t="inlineStr">
        <is>
          <t>2025-07-22 12:38:07.729 IST</t>
        </is>
      </c>
      <c r="M2290" t="inlineStr">
        <is>
          <t>Dhruv Pahadia</t>
        </is>
      </c>
      <c r="N2290" t="inlineStr">
        <is>
          <t>No</t>
        </is>
      </c>
      <c r="O2290" t="inlineStr">
        <is>
          <t>Yes</t>
        </is>
      </c>
      <c r="P2290" t="inlineStr">
        <is>
          <t>Soundariya B</t>
        </is>
      </c>
      <c r="Q2290" t="inlineStr">
        <is>
          <t>Bad</t>
        </is>
      </c>
    </row>
    <row r="2291">
      <c r="A2291" t="inlineStr">
        <is>
          <t>dhruv.p</t>
        </is>
      </c>
      <c r="B2291" t="inlineStr">
        <is>
          <t>Dhruv Pahadia</t>
        </is>
      </c>
      <c r="C2291" t="inlineStr">
        <is>
          <t>dhruv.p@osmosys.co</t>
        </is>
      </c>
      <c r="D2291" t="inlineStr">
        <is>
          <t>incident-reporter</t>
        </is>
      </c>
      <c r="E2291">
        <f>HYPERLINK("http://gitlab.osmosys.co/incident-reporter/incident-reporter-app", "OQSHA Mobile App")</f>
        <v/>
      </c>
      <c r="F2291">
        <f>HYPERLINK("http://gitlab.osmosys.co/incident-reporter/incident-reporter-app/-/merge_requests/1801", "fix: update pwa route format")</f>
        <v/>
      </c>
      <c r="G2291" t="inlineStr">
        <is>
          <t>feat/pwa-route-format</t>
        </is>
      </c>
      <c r="H2291" t="inlineStr">
        <is>
          <t>sprint-17</t>
        </is>
      </c>
      <c r="I2291" t="inlineStr">
        <is>
          <t>merged</t>
        </is>
      </c>
      <c r="J2291" t="inlineStr">
        <is>
          <t>8e6b8db082ae0e738ef0c0a2ece69534253e2613</t>
        </is>
      </c>
      <c r="K2291">
        <f>HYPERLINK("http://gitlab.osmosys.co/incident-reporter/incident-reporter-app/-/merge_requests/1801#note_238885", "Leaving the name as SCAN as it directs to scan module and is more relevant")</f>
        <v/>
      </c>
      <c r="L2291" t="inlineStr">
        <is>
          <t>2025-07-18 16:41:58.953 IST</t>
        </is>
      </c>
      <c r="M2291" t="inlineStr">
        <is>
          <t>Dhruv Pahadia</t>
        </is>
      </c>
      <c r="N2291" t="inlineStr">
        <is>
          <t>No</t>
        </is>
      </c>
      <c r="O2291" t="inlineStr">
        <is>
          <t>Yes</t>
        </is>
      </c>
      <c r="P2291" t="inlineStr">
        <is>
          <t>Soundariya B</t>
        </is>
      </c>
      <c r="Q2291" t="inlineStr">
        <is>
          <t>Neutral</t>
        </is>
      </c>
    </row>
    <row r="2292">
      <c r="A2292" t="inlineStr">
        <is>
          <t>dhruv.p</t>
        </is>
      </c>
      <c r="B2292" t="inlineStr">
        <is>
          <t>Dhruv Pahadia</t>
        </is>
      </c>
      <c r="C2292" t="inlineStr">
        <is>
          <t>dhruv.p@osmosys.co</t>
        </is>
      </c>
      <c r="D2292" t="inlineStr">
        <is>
          <t>incident-reporter</t>
        </is>
      </c>
      <c r="E2292">
        <f>HYPERLINK("http://gitlab.osmosys.co/incident-reporter/incident-reporter-app", "OQSHA Mobile App")</f>
        <v/>
      </c>
      <c r="F2292">
        <f>HYPERLINK("http://gitlab.osmosys.co/incident-reporter/incident-reporter-app/-/merge_requests/1801", "fix: update pwa route format")</f>
        <v/>
      </c>
      <c r="G2292" t="inlineStr">
        <is>
          <t>feat/pwa-route-format</t>
        </is>
      </c>
      <c r="H2292" t="inlineStr">
        <is>
          <t>sprint-17</t>
        </is>
      </c>
      <c r="I2292" t="inlineStr">
        <is>
          <t>merged</t>
        </is>
      </c>
      <c r="J2292" t="inlineStr">
        <is>
          <t>8e6b8db082ae0e738ef0c0a2ece69534253e2613</t>
        </is>
      </c>
      <c r="K2292">
        <f>HYPERLINK("http://gitlab.osmosys.co/incident-reporter/incident-reporter-app/-/merge_requests/1801#note_238988", "Scan module but on UI to which its redirect? please give the proper name if possible")</f>
        <v/>
      </c>
      <c r="L2292" t="inlineStr">
        <is>
          <t>2025-07-18 20:02:44.838 IST</t>
        </is>
      </c>
      <c r="M2292" t="inlineStr">
        <is>
          <t>Soundariya B</t>
        </is>
      </c>
      <c r="N2292" t="inlineStr">
        <is>
          <t>Yes</t>
        </is>
      </c>
      <c r="O2292" t="inlineStr">
        <is>
          <t>Yes</t>
        </is>
      </c>
      <c r="P2292" t="inlineStr">
        <is>
          <t>Soundariya B</t>
        </is>
      </c>
      <c r="Q2292" t="inlineStr">
        <is>
          <t>Neutral</t>
        </is>
      </c>
    </row>
    <row r="2293">
      <c r="A2293" t="inlineStr">
        <is>
          <t>dhruv.p</t>
        </is>
      </c>
      <c r="B2293" t="inlineStr">
        <is>
          <t>Dhruv Pahadia</t>
        </is>
      </c>
      <c r="C2293" t="inlineStr">
        <is>
          <t>dhruv.p@osmosys.co</t>
        </is>
      </c>
      <c r="D2293" t="inlineStr">
        <is>
          <t>incident-reporter</t>
        </is>
      </c>
      <c r="E2293">
        <f>HYPERLINK("http://gitlab.osmosys.co/incident-reporter/incident-reporter-app", "OQSHA Mobile App")</f>
        <v/>
      </c>
      <c r="F2293">
        <f>HYPERLINK("http://gitlab.osmosys.co/incident-reporter/incident-reporter-app/-/merge_requests/1801", "fix: update pwa route format")</f>
        <v/>
      </c>
      <c r="G2293" t="inlineStr">
        <is>
          <t>feat/pwa-route-format</t>
        </is>
      </c>
      <c r="H2293" t="inlineStr">
        <is>
          <t>sprint-17</t>
        </is>
      </c>
      <c r="I2293" t="inlineStr">
        <is>
          <t>merged</t>
        </is>
      </c>
      <c r="J2293" t="inlineStr">
        <is>
          <t>8e6b8db082ae0e738ef0c0a2ece69534253e2613</t>
        </is>
      </c>
      <c r="K2293">
        <f>HYPERLINK("http://gitlab.osmosys.co/incident-reporter/incident-reporter-app/-/merge_requests/1801#note_238999", "module name is scan.module.ts, its reached after user scans the qr code")</f>
        <v/>
      </c>
      <c r="L2293" t="inlineStr">
        <is>
          <t>2025-07-18 20:39:44.618 IST</t>
        </is>
      </c>
      <c r="M2293" t="inlineStr">
        <is>
          <t>Dhruv Pahadia</t>
        </is>
      </c>
      <c r="N2293" t="inlineStr">
        <is>
          <t>No</t>
        </is>
      </c>
      <c r="O2293" t="inlineStr">
        <is>
          <t>Yes</t>
        </is>
      </c>
      <c r="P2293" t="inlineStr">
        <is>
          <t>Soundariya B</t>
        </is>
      </c>
      <c r="Q2293" t="inlineStr">
        <is>
          <t>Neutral</t>
        </is>
      </c>
    </row>
    <row r="2294">
      <c r="A2294" t="inlineStr">
        <is>
          <t>dhruv.p</t>
        </is>
      </c>
      <c r="B2294" t="inlineStr">
        <is>
          <t>Dhruv Pahadia</t>
        </is>
      </c>
      <c r="C2294" t="inlineStr">
        <is>
          <t>dhruv.p@osmosys.co</t>
        </is>
      </c>
      <c r="D2294" t="inlineStr">
        <is>
          <t>incident-reporter</t>
        </is>
      </c>
      <c r="E2294">
        <f>HYPERLINK("http://gitlab.osmosys.co/incident-reporter/incident-reporter-app", "OQSHA Mobile App")</f>
        <v/>
      </c>
      <c r="F2294">
        <f>HYPERLINK("http://gitlab.osmosys.co/incident-reporter/incident-reporter-app/-/merge_requests/1801", "fix: update pwa route format")</f>
        <v/>
      </c>
      <c r="G2294" t="inlineStr">
        <is>
          <t>feat/pwa-route-format</t>
        </is>
      </c>
      <c r="H2294" t="inlineStr">
        <is>
          <t>sprint-17</t>
        </is>
      </c>
      <c r="I2294" t="inlineStr">
        <is>
          <t>merged</t>
        </is>
      </c>
      <c r="J2294" t="inlineStr">
        <is>
          <t>7e36627a0483c641e35aac6b2e944c5c0606cdb8</t>
        </is>
      </c>
      <c r="K2294">
        <f>HYPERLINK("http://gitlab.osmosys.co/incident-reporter/incident-reporter-app/-/merge_requests/1801#note_238987", "As the module is Scan then how route path is sites? 
And also please add canActivate and permission data for this module")</f>
        <v/>
      </c>
      <c r="L2294" t="inlineStr">
        <is>
          <t>2025-07-18 20:02:44.769 IST</t>
        </is>
      </c>
      <c r="M2294" t="inlineStr">
        <is>
          <t>Soundariya B</t>
        </is>
      </c>
      <c r="N2294" t="inlineStr">
        <is>
          <t>Yes</t>
        </is>
      </c>
      <c r="O2294" t="inlineStr">
        <is>
          <t>Yes</t>
        </is>
      </c>
      <c r="P2294" t="inlineStr">
        <is>
          <t>Soundariya B</t>
        </is>
      </c>
      <c r="Q2294" t="inlineStr">
        <is>
          <t>Neutral</t>
        </is>
      </c>
    </row>
    <row r="2295">
      <c r="A2295" t="inlineStr">
        <is>
          <t>dhruv.p</t>
        </is>
      </c>
      <c r="B2295" t="inlineStr">
        <is>
          <t>Dhruv Pahadia</t>
        </is>
      </c>
      <c r="C2295" t="inlineStr">
        <is>
          <t>dhruv.p@osmosys.co</t>
        </is>
      </c>
      <c r="D2295" t="inlineStr">
        <is>
          <t>incident-reporter</t>
        </is>
      </c>
      <c r="E2295">
        <f>HYPERLINK("http://gitlab.osmosys.co/incident-reporter/incident-reporter-app", "OQSHA Mobile App")</f>
        <v/>
      </c>
      <c r="F2295">
        <f>HYPERLINK("http://gitlab.osmosys.co/incident-reporter/incident-reporter-app/-/merge_requests/1801", "fix: update pwa route format")</f>
        <v/>
      </c>
      <c r="G2295" t="inlineStr">
        <is>
          <t>feat/pwa-route-format</t>
        </is>
      </c>
      <c r="H2295" t="inlineStr">
        <is>
          <t>sprint-17</t>
        </is>
      </c>
      <c r="I2295" t="inlineStr">
        <is>
          <t>merged</t>
        </is>
      </c>
      <c r="J2295" t="inlineStr">
        <is>
          <t>7e36627a0483c641e35aac6b2e944c5c0606cdb8</t>
        </is>
      </c>
      <c r="K2295">
        <f>HYPERLINK("http://gitlab.osmosys.co/incident-reporter/incident-reporter-app/-/merge_requests/1801#note_239002", "There will be no permission required to reach this place, also the routes can't be changed as it will be fetched from already existing qr-code")</f>
        <v/>
      </c>
      <c r="L2295" t="inlineStr">
        <is>
          <t>2025-07-18 20:42:11.863 IST</t>
        </is>
      </c>
      <c r="M2295" t="inlineStr">
        <is>
          <t>Dhruv Pahadia</t>
        </is>
      </c>
      <c r="N2295" t="inlineStr">
        <is>
          <t>No</t>
        </is>
      </c>
      <c r="O2295" t="inlineStr">
        <is>
          <t>Yes</t>
        </is>
      </c>
      <c r="P2295" t="inlineStr">
        <is>
          <t>Soundariya B</t>
        </is>
      </c>
      <c r="Q2295" t="inlineStr">
        <is>
          <t>Neutral</t>
        </is>
      </c>
    </row>
    <row r="2296">
      <c r="A2296" t="inlineStr">
        <is>
          <t>dhruv.p</t>
        </is>
      </c>
      <c r="B2296" t="inlineStr">
        <is>
          <t>Dhruv Pahadia</t>
        </is>
      </c>
      <c r="C2296" t="inlineStr">
        <is>
          <t>dhruv.p@osmosys.co</t>
        </is>
      </c>
      <c r="D2296" t="inlineStr">
        <is>
          <t>incident-reporter</t>
        </is>
      </c>
      <c r="E2296">
        <f>HYPERLINK("http://gitlab.osmosys.co/incident-reporter/incident-reporter-app", "OQSHA Mobile App")</f>
        <v/>
      </c>
      <c r="F2296">
        <f>HYPERLINK("http://gitlab.osmosys.co/incident-reporter/incident-reporter-app/-/merge_requests/1801", "fix: update pwa route format")</f>
        <v/>
      </c>
      <c r="G2296" t="inlineStr">
        <is>
          <t>feat/pwa-route-format</t>
        </is>
      </c>
      <c r="H2296" t="inlineStr">
        <is>
          <t>sprint-17</t>
        </is>
      </c>
      <c r="I2296" t="inlineStr">
        <is>
          <t>merged</t>
        </is>
      </c>
      <c r="J2296" t="inlineStr">
        <is>
          <t>62b4ff7bcf4f2e538b79b2bce4f597149166ccc9</t>
        </is>
      </c>
      <c r="K2296">
        <f>HYPERLINK("http://gitlab.osmosys.co/incident-reporter/incident-reporter-app/-/merge_requests/1801#note_238989", "Scan url pattern should include scan instead sites")</f>
        <v/>
      </c>
      <c r="L2296" t="inlineStr">
        <is>
          <t>2025-07-18 20:02:44.950 IST</t>
        </is>
      </c>
      <c r="M2296" t="inlineStr">
        <is>
          <t>Soundariya B</t>
        </is>
      </c>
      <c r="N2296" t="inlineStr">
        <is>
          <t>Yes</t>
        </is>
      </c>
      <c r="O2296" t="inlineStr">
        <is>
          <t>Yes</t>
        </is>
      </c>
      <c r="P2296" t="inlineStr">
        <is>
          <t>Soundariya B</t>
        </is>
      </c>
      <c r="Q2296" t="inlineStr">
        <is>
          <t>Neutral</t>
        </is>
      </c>
    </row>
    <row r="2297">
      <c r="A2297" t="inlineStr">
        <is>
          <t>dhruv.p</t>
        </is>
      </c>
      <c r="B2297" t="inlineStr">
        <is>
          <t>Dhruv Pahadia</t>
        </is>
      </c>
      <c r="C2297" t="inlineStr">
        <is>
          <t>dhruv.p@osmosys.co</t>
        </is>
      </c>
      <c r="D2297" t="inlineStr">
        <is>
          <t>incident-reporter</t>
        </is>
      </c>
      <c r="E2297">
        <f>HYPERLINK("http://gitlab.osmosys.co/incident-reporter/incident-reporter-app", "OQSHA Mobile App")</f>
        <v/>
      </c>
      <c r="F2297">
        <f>HYPERLINK("http://gitlab.osmosys.co/incident-reporter/incident-reporter-app/-/merge_requests/1801", "fix: update pwa route format")</f>
        <v/>
      </c>
      <c r="G2297" t="inlineStr">
        <is>
          <t>feat/pwa-route-format</t>
        </is>
      </c>
      <c r="H2297" t="inlineStr">
        <is>
          <t>sprint-17</t>
        </is>
      </c>
      <c r="I2297" t="inlineStr">
        <is>
          <t>merged</t>
        </is>
      </c>
      <c r="J2297" t="inlineStr">
        <is>
          <t>62b4ff7bcf4f2e538b79b2bce4f597149166ccc9</t>
        </is>
      </c>
      <c r="K2297">
        <f>HYPERLINK("http://gitlab.osmosys.co/incident-reporter/incident-reporter-app/-/merge_requests/1801#note_239000", "I understand but the qr-codes we are using are old only and this is their url.
Nothing can be done about this now")</f>
        <v/>
      </c>
      <c r="L2297" t="inlineStr">
        <is>
          <t>2025-07-18 20:40:22.539 IST</t>
        </is>
      </c>
      <c r="M2297" t="inlineStr">
        <is>
          <t>Dhruv Pahadia</t>
        </is>
      </c>
      <c r="N2297" t="inlineStr">
        <is>
          <t>No</t>
        </is>
      </c>
      <c r="O2297" t="inlineStr">
        <is>
          <t>Yes</t>
        </is>
      </c>
      <c r="P2297" t="inlineStr">
        <is>
          <t>Soundariya B</t>
        </is>
      </c>
      <c r="Q2297" t="inlineStr">
        <is>
          <t>Neutral</t>
        </is>
      </c>
    </row>
    <row r="2298">
      <c r="A2298" t="inlineStr">
        <is>
          <t>dhruv.p</t>
        </is>
      </c>
      <c r="B2298" t="inlineStr">
        <is>
          <t>Dhruv Pahadia</t>
        </is>
      </c>
      <c r="C2298" t="inlineStr">
        <is>
          <t>dhruv.p@osmosys.co</t>
        </is>
      </c>
      <c r="D2298" t="inlineStr">
        <is>
          <t>incident-reporter</t>
        </is>
      </c>
      <c r="E2298">
        <f>HYPERLINK("http://gitlab.osmosys.co/incident-reporter/incident-reporter-app", "OQSHA Mobile App")</f>
        <v/>
      </c>
      <c r="F2298">
        <f>HYPERLINK("http://gitlab.osmosys.co/incident-reporter/incident-reporter-app/-/merge_requests/1801", "fix: update pwa route format")</f>
        <v/>
      </c>
      <c r="G2298" t="inlineStr">
        <is>
          <t>feat/pwa-route-format</t>
        </is>
      </c>
      <c r="H2298" t="inlineStr">
        <is>
          <t>sprint-17</t>
        </is>
      </c>
      <c r="I2298" t="inlineStr">
        <is>
          <t>merged</t>
        </is>
      </c>
      <c r="J2298" t="inlineStr">
        <is>
          <t>3b91be087202aa066af45b5b58691696c33ea350</t>
        </is>
      </c>
      <c r="K2298">
        <f>HYPERLINK("http://gitlab.osmosys.co/incident-reporter/incident-reporter-app/-/merge_requests/1801#note_238991", "please use parseInt with radix for conversion")</f>
        <v/>
      </c>
      <c r="L2298" t="inlineStr">
        <is>
          <t>2025-07-18 20:02:45.057 IST</t>
        </is>
      </c>
      <c r="M2298" t="inlineStr">
        <is>
          <t>Soundariya B</t>
        </is>
      </c>
      <c r="N2298" t="inlineStr">
        <is>
          <t>Yes</t>
        </is>
      </c>
      <c r="O2298" t="inlineStr">
        <is>
          <t>Yes</t>
        </is>
      </c>
      <c r="P2298" t="inlineStr">
        <is>
          <t>Soundariya B</t>
        </is>
      </c>
      <c r="Q2298" t="inlineStr">
        <is>
          <t>Bad</t>
        </is>
      </c>
    </row>
    <row r="2299">
      <c r="A2299" t="inlineStr">
        <is>
          <t>dhruv.p</t>
        </is>
      </c>
      <c r="B2299" t="inlineStr">
        <is>
          <t>Dhruv Pahadia</t>
        </is>
      </c>
      <c r="C2299" t="inlineStr">
        <is>
          <t>dhruv.p@osmosys.co</t>
        </is>
      </c>
      <c r="D2299" t="inlineStr">
        <is>
          <t>incident-reporter</t>
        </is>
      </c>
      <c r="E2299">
        <f>HYPERLINK("http://gitlab.osmosys.co/incident-reporter/incident-reporter-app", "OQSHA Mobile App")</f>
        <v/>
      </c>
      <c r="F2299">
        <f>HYPERLINK("http://gitlab.osmosys.co/incident-reporter/incident-reporter-app/-/merge_requests/1801", "fix: update pwa route format")</f>
        <v/>
      </c>
      <c r="G2299" t="inlineStr">
        <is>
          <t>feat/pwa-route-format</t>
        </is>
      </c>
      <c r="H2299" t="inlineStr">
        <is>
          <t>sprint-17</t>
        </is>
      </c>
      <c r="I2299" t="inlineStr">
        <is>
          <t>merged</t>
        </is>
      </c>
      <c r="J2299" t="inlineStr">
        <is>
          <t>3b91be087202aa066af45b5b58691696c33ea350</t>
        </is>
      </c>
      <c r="K2299">
        <f>HYPERLINK("http://gitlab.osmosys.co/incident-reporter/incident-reporter-app/-/merge_requests/1801#note_239012", "Fixed")</f>
        <v/>
      </c>
      <c r="L2299" t="inlineStr">
        <is>
          <t>2025-07-18 20:48:50.944 IST</t>
        </is>
      </c>
      <c r="M2299" t="inlineStr">
        <is>
          <t>Dhruv Pahadia</t>
        </is>
      </c>
      <c r="N2299" t="inlineStr">
        <is>
          <t>No</t>
        </is>
      </c>
      <c r="O2299" t="inlineStr">
        <is>
          <t>Yes</t>
        </is>
      </c>
      <c r="P2299" t="inlineStr">
        <is>
          <t>Soundariya B</t>
        </is>
      </c>
      <c r="Q2299" t="inlineStr">
        <is>
          <t>Bad</t>
        </is>
      </c>
    </row>
    <row r="2300">
      <c r="A2300" t="inlineStr">
        <is>
          <t>dhruv.p</t>
        </is>
      </c>
      <c r="B2300" t="inlineStr">
        <is>
          <t>Dhruv Pahadia</t>
        </is>
      </c>
      <c r="C2300" t="inlineStr">
        <is>
          <t>dhruv.p@osmosys.co</t>
        </is>
      </c>
      <c r="D2300" t="inlineStr">
        <is>
          <t>incident-reporter</t>
        </is>
      </c>
      <c r="E2300">
        <f>HYPERLINK("http://gitlab.osmosys.co/incident-reporter/incident-reporter-app", "OQSHA Mobile App")</f>
        <v/>
      </c>
      <c r="F2300">
        <f>HYPERLINK("http://gitlab.osmosys.co/incident-reporter/incident-reporter-app/-/merge_requests/1801", "fix: update pwa route format")</f>
        <v/>
      </c>
      <c r="G2300" t="inlineStr">
        <is>
          <t>feat/pwa-route-format</t>
        </is>
      </c>
      <c r="H2300" t="inlineStr">
        <is>
          <t>sprint-17</t>
        </is>
      </c>
      <c r="I2300" t="inlineStr">
        <is>
          <t>merged</t>
        </is>
      </c>
      <c r="J2300" t="inlineStr">
        <is>
          <t>a9684bda7bc82683ddbd3eb27ca859d60c4217e3</t>
        </is>
      </c>
      <c r="K2300">
        <f>HYPERLINK("http://gitlab.osmosys.co/incident-reporter/incident-reporter-app/-/merge_requests/1801#note_238992", "Why are we taking the static value if it is not matched?")</f>
        <v/>
      </c>
      <c r="L2300" t="inlineStr">
        <is>
          <t>2025-07-18 20:02:45.111 IST</t>
        </is>
      </c>
      <c r="M2300" t="inlineStr">
        <is>
          <t>Soundariya B</t>
        </is>
      </c>
      <c r="N2300" t="inlineStr">
        <is>
          <t>Yes</t>
        </is>
      </c>
      <c r="O2300" t="inlineStr">
        <is>
          <t>Yes</t>
        </is>
      </c>
      <c r="P2300" t="inlineStr">
        <is>
          <t>Soundariya B</t>
        </is>
      </c>
      <c r="Q2300" t="inlineStr">
        <is>
          <t>Neutral</t>
        </is>
      </c>
    </row>
    <row r="2301">
      <c r="A2301" t="inlineStr">
        <is>
          <t>dhruv.p</t>
        </is>
      </c>
      <c r="B2301" t="inlineStr">
        <is>
          <t>Dhruv Pahadia</t>
        </is>
      </c>
      <c r="C2301" t="inlineStr">
        <is>
          <t>dhruv.p@osmosys.co</t>
        </is>
      </c>
      <c r="D2301" t="inlineStr">
        <is>
          <t>incident-reporter</t>
        </is>
      </c>
      <c r="E2301">
        <f>HYPERLINK("http://gitlab.osmosys.co/incident-reporter/incident-reporter-app", "OQSHA Mobile App")</f>
        <v/>
      </c>
      <c r="F2301">
        <f>HYPERLINK("http://gitlab.osmosys.co/incident-reporter/incident-reporter-app/-/merge_requests/1801", "fix: update pwa route format")</f>
        <v/>
      </c>
      <c r="G2301" t="inlineStr">
        <is>
          <t>feat/pwa-route-format</t>
        </is>
      </c>
      <c r="H2301" t="inlineStr">
        <is>
          <t>sprint-17</t>
        </is>
      </c>
      <c r="I2301" t="inlineStr">
        <is>
          <t>merged</t>
        </is>
      </c>
      <c r="J2301" t="inlineStr">
        <is>
          <t>a9684bda7bc82683ddbd3eb27ca859d60c4217e3</t>
        </is>
      </c>
      <c r="K2301">
        <f>HYPERLINK("http://gitlab.osmosys.co/incident-reporter/incident-reporter-app/-/merge_requests/1801#note_239001", "So that the condition if (orgId &amp;&amp; siteId) fails")</f>
        <v/>
      </c>
      <c r="L2301" t="inlineStr">
        <is>
          <t>2025-07-18 20:40:55.930 IST</t>
        </is>
      </c>
      <c r="M2301" t="inlineStr">
        <is>
          <t>Dhruv Pahadia</t>
        </is>
      </c>
      <c r="N2301" t="inlineStr">
        <is>
          <t>No</t>
        </is>
      </c>
      <c r="O2301" t="inlineStr">
        <is>
          <t>Yes</t>
        </is>
      </c>
      <c r="P2301" t="inlineStr">
        <is>
          <t>Soundariya B</t>
        </is>
      </c>
      <c r="Q2301" t="inlineStr">
        <is>
          <t>Neutral</t>
        </is>
      </c>
    </row>
    <row r="2302">
      <c r="A2302" t="inlineStr">
        <is>
          <t>dhruv.p</t>
        </is>
      </c>
      <c r="B2302" t="inlineStr">
        <is>
          <t>Dhruv Pahadia</t>
        </is>
      </c>
      <c r="C2302" t="inlineStr">
        <is>
          <t>dhruv.p@osmosys.co</t>
        </is>
      </c>
      <c r="D2302" t="inlineStr">
        <is>
          <t>incident-reporter</t>
        </is>
      </c>
      <c r="E2302">
        <f>HYPERLINK("http://gitlab.osmosys.co/incident-reporter/incident-reporter-app", "OQSHA Mobile App")</f>
        <v/>
      </c>
      <c r="F2302">
        <f>HYPERLINK("http://gitlab.osmosys.co/incident-reporter/incident-reporter-app/-/merge_requests/1801", "fix: update pwa route format")</f>
        <v/>
      </c>
      <c r="G2302" t="inlineStr">
        <is>
          <t>feat/pwa-route-format</t>
        </is>
      </c>
      <c r="H2302" t="inlineStr">
        <is>
          <t>sprint-17</t>
        </is>
      </c>
      <c r="I2302" t="inlineStr">
        <is>
          <t>merged</t>
        </is>
      </c>
      <c r="J2302" t="inlineStr">
        <is>
          <t>24c4431d1cf8fbaf6c8ea3e94c5debd2df3da2a0</t>
        </is>
      </c>
      <c r="K2302">
        <f>HYPERLINK("http://gitlab.osmosys.co/incident-reporter/incident-reporter-app/-/merge_requests/1801#note_238993", "Can you add comment like what is happening here and why?")</f>
        <v/>
      </c>
      <c r="L2302" t="inlineStr">
        <is>
          <t>2025-07-18 20:02:45.165 IST</t>
        </is>
      </c>
      <c r="M2302" t="inlineStr">
        <is>
          <t>Soundariya B</t>
        </is>
      </c>
      <c r="N2302" t="inlineStr">
        <is>
          <t>Yes</t>
        </is>
      </c>
      <c r="O2302" t="inlineStr">
        <is>
          <t>Yes</t>
        </is>
      </c>
      <c r="P2302" t="inlineStr">
        <is>
          <t>Soundariya B</t>
        </is>
      </c>
      <c r="Q2302" t="inlineStr">
        <is>
          <t>Bad</t>
        </is>
      </c>
    </row>
    <row r="2303">
      <c r="A2303" t="inlineStr">
        <is>
          <t>dhruv.p</t>
        </is>
      </c>
      <c r="B2303" t="inlineStr">
        <is>
          <t>Dhruv Pahadia</t>
        </is>
      </c>
      <c r="C2303" t="inlineStr">
        <is>
          <t>dhruv.p@osmosys.co</t>
        </is>
      </c>
      <c r="D2303" t="inlineStr">
        <is>
          <t>incident-reporter</t>
        </is>
      </c>
      <c r="E2303">
        <f>HYPERLINK("http://gitlab.osmosys.co/incident-reporter/incident-reporter-app", "OQSHA Mobile App")</f>
        <v/>
      </c>
      <c r="F2303">
        <f>HYPERLINK("http://gitlab.osmosys.co/incident-reporter/incident-reporter-app/-/merge_requests/1801", "fix: update pwa route format")</f>
        <v/>
      </c>
      <c r="G2303" t="inlineStr">
        <is>
          <t>feat/pwa-route-format</t>
        </is>
      </c>
      <c r="H2303" t="inlineStr">
        <is>
          <t>sprint-17</t>
        </is>
      </c>
      <c r="I2303" t="inlineStr">
        <is>
          <t>merged</t>
        </is>
      </c>
      <c r="J2303" t="inlineStr">
        <is>
          <t>24c4431d1cf8fbaf6c8ea3e94c5debd2df3da2a0</t>
        </is>
      </c>
      <c r="K2303">
        <f>HYPERLINK("http://gitlab.osmosys.co/incident-reporter/incident-reporter-app/-/merge_requests/1801#note_239011", "Added comments")</f>
        <v/>
      </c>
      <c r="L2303" t="inlineStr">
        <is>
          <t>2025-07-18 20:48:41.685 IST</t>
        </is>
      </c>
      <c r="M2303" t="inlineStr">
        <is>
          <t>Dhruv Pahadia</t>
        </is>
      </c>
      <c r="N2303" t="inlineStr">
        <is>
          <t>No</t>
        </is>
      </c>
      <c r="O2303" t="inlineStr">
        <is>
          <t>Yes</t>
        </is>
      </c>
      <c r="P2303" t="inlineStr">
        <is>
          <t>Soundariya B</t>
        </is>
      </c>
      <c r="Q2303" t="inlineStr">
        <is>
          <t>Bad</t>
        </is>
      </c>
    </row>
    <row r="2304">
      <c r="A2304" t="inlineStr">
        <is>
          <t>dhruv.p</t>
        </is>
      </c>
      <c r="B2304" t="inlineStr">
        <is>
          <t>Dhruv Pahadia</t>
        </is>
      </c>
      <c r="C2304" t="inlineStr">
        <is>
          <t>dhruv.p@osmosys.co</t>
        </is>
      </c>
      <c r="D2304" t="inlineStr">
        <is>
          <t>incident-reporter</t>
        </is>
      </c>
      <c r="E2304">
        <f>HYPERLINK("http://gitlab.osmosys.co/incident-reporter/incident-reporter-app", "OQSHA Mobile App")</f>
        <v/>
      </c>
      <c r="F2304">
        <f>HYPERLINK("http://gitlab.osmosys.co/incident-reporter/incident-reporter-app/-/merge_requests/1794", "feat: implement default moc approver")</f>
        <v/>
      </c>
      <c r="G2304" t="inlineStr">
        <is>
          <t>feat/default-moc-approver</t>
        </is>
      </c>
      <c r="H2304" t="inlineStr">
        <is>
          <t>sprint-17</t>
        </is>
      </c>
      <c r="I2304" t="inlineStr">
        <is>
          <t>merged</t>
        </is>
      </c>
      <c r="J2304" t="inlineStr"/>
      <c r="K2304" t="inlineStr"/>
      <c r="L2304" t="inlineStr"/>
      <c r="M2304" t="inlineStr"/>
      <c r="N2304" t="inlineStr"/>
      <c r="O2304" t="inlineStr"/>
      <c r="P2304" t="inlineStr"/>
      <c r="Q2304" t="inlineStr"/>
    </row>
    <row r="2305">
      <c r="A2305" t="inlineStr">
        <is>
          <t>dhruv.p</t>
        </is>
      </c>
      <c r="B2305" t="inlineStr">
        <is>
          <t>Dhruv Pahadia</t>
        </is>
      </c>
      <c r="C2305" t="inlineStr">
        <is>
          <t>dhruv.p@osmosys.co</t>
        </is>
      </c>
      <c r="D2305" t="inlineStr">
        <is>
          <t>incident-reporter</t>
        </is>
      </c>
      <c r="E2305">
        <f>HYPERLINK("http://gitlab.osmosys.co/incident-reporter/incident-reporter-app", "OQSHA Mobile App")</f>
        <v/>
      </c>
      <c r="F2305">
        <f>HYPERLINK("http://gitlab.osmosys.co/incident-reporter/incident-reporter-app/-/merge_requests/1774", "feat: convert oqsha to pwa and implement user registration")</f>
        <v/>
      </c>
      <c r="G2305" t="inlineStr">
        <is>
          <t>feat/qr-scan-refactor</t>
        </is>
      </c>
      <c r="H2305" t="inlineStr">
        <is>
          <t>sprint-17</t>
        </is>
      </c>
      <c r="I2305" t="inlineStr">
        <is>
          <t>merged</t>
        </is>
      </c>
      <c r="J2305" t="inlineStr">
        <is>
          <t>6d4c7a1b83dff3dd2454a057cc0905a0cbad22d4</t>
        </is>
      </c>
      <c r="K2305">
        <f>HYPERLINK("http://gitlab.osmosys.co/incident-reporter/incident-reporter-app/-/merge_requests/1774#note_236898", "No test case and no working video")</f>
        <v/>
      </c>
      <c r="L2305" t="inlineStr">
        <is>
          <t>2025-07-15 16:16:33.866 IST</t>
        </is>
      </c>
      <c r="M2305" t="inlineStr">
        <is>
          <t>Soundariya B</t>
        </is>
      </c>
      <c r="N2305" t="inlineStr">
        <is>
          <t>Yes</t>
        </is>
      </c>
      <c r="O2305" t="inlineStr">
        <is>
          <t>Yes</t>
        </is>
      </c>
      <c r="P2305" t="inlineStr">
        <is>
          <t>Soundariya B</t>
        </is>
      </c>
      <c r="Q2305" t="inlineStr">
        <is>
          <t>Bad</t>
        </is>
      </c>
    </row>
    <row r="2306">
      <c r="A2306" t="inlineStr">
        <is>
          <t>dhruv.p</t>
        </is>
      </c>
      <c r="B2306" t="inlineStr">
        <is>
          <t>Dhruv Pahadia</t>
        </is>
      </c>
      <c r="C2306" t="inlineStr">
        <is>
          <t>dhruv.p@osmosys.co</t>
        </is>
      </c>
      <c r="D2306" t="inlineStr">
        <is>
          <t>incident-reporter</t>
        </is>
      </c>
      <c r="E2306">
        <f>HYPERLINK("http://gitlab.osmosys.co/incident-reporter/incident-reporter-app", "OQSHA Mobile App")</f>
        <v/>
      </c>
      <c r="F2306">
        <f>HYPERLINK("http://gitlab.osmosys.co/incident-reporter/incident-reporter-app/-/merge_requests/1774", "feat: convert oqsha to pwa and implement user registration")</f>
        <v/>
      </c>
      <c r="G2306" t="inlineStr">
        <is>
          <t>feat/qr-scan-refactor</t>
        </is>
      </c>
      <c r="H2306" t="inlineStr">
        <is>
          <t>sprint-17</t>
        </is>
      </c>
      <c r="I2306" t="inlineStr">
        <is>
          <t>merged</t>
        </is>
      </c>
      <c r="J2306" t="inlineStr">
        <is>
          <t>6d4c7a1b83dff3dd2454a057cc0905a0cbad22d4</t>
        </is>
      </c>
      <c r="K2306">
        <f>HYPERLINK("http://gitlab.osmosys.co/incident-reporter/incident-reporter-app/-/merge_requests/1774#note_237342", "Added")</f>
        <v/>
      </c>
      <c r="L2306" t="inlineStr">
        <is>
          <t>2025-07-16 11:27:01.518 IST</t>
        </is>
      </c>
      <c r="M2306" t="inlineStr">
        <is>
          <t>Dhruv Pahadia</t>
        </is>
      </c>
      <c r="N2306" t="inlineStr">
        <is>
          <t>No</t>
        </is>
      </c>
      <c r="O2306" t="inlineStr">
        <is>
          <t>Yes</t>
        </is>
      </c>
      <c r="P2306" t="inlineStr">
        <is>
          <t>Soundariya B</t>
        </is>
      </c>
      <c r="Q2306" t="inlineStr">
        <is>
          <t>Bad</t>
        </is>
      </c>
    </row>
    <row r="2307">
      <c r="A2307" t="inlineStr">
        <is>
          <t>dhruv.p</t>
        </is>
      </c>
      <c r="B2307" t="inlineStr">
        <is>
          <t>Dhruv Pahadia</t>
        </is>
      </c>
      <c r="C2307" t="inlineStr">
        <is>
          <t>dhruv.p@osmosys.co</t>
        </is>
      </c>
      <c r="D2307" t="inlineStr">
        <is>
          <t>incident-reporter</t>
        </is>
      </c>
      <c r="E2307">
        <f>HYPERLINK("http://gitlab.osmosys.co/incident-reporter/incident-reporter-app", "OQSHA Mobile App")</f>
        <v/>
      </c>
      <c r="F2307">
        <f>HYPERLINK("http://gitlab.osmosys.co/incident-reporter/incident-reporter-app/-/merge_requests/1774", "feat: convert oqsha to pwa and implement user registration")</f>
        <v/>
      </c>
      <c r="G2307" t="inlineStr">
        <is>
          <t>feat/qr-scan-refactor</t>
        </is>
      </c>
      <c r="H2307" t="inlineStr">
        <is>
          <t>sprint-17</t>
        </is>
      </c>
      <c r="I2307" t="inlineStr">
        <is>
          <t>merged</t>
        </is>
      </c>
      <c r="J2307" t="inlineStr">
        <is>
          <t>34483d4f07c0b5e25a1b5efcb6b604b4ca01e507</t>
        </is>
      </c>
      <c r="K2307">
        <f>HYPERLINK("http://gitlab.osmosys.co/incident-reporter/incident-reporter-app/-/merge_requests/1774#note_236899", "Please remove unnecessary ternary syntax when both sides result in `0`—nullish or falsy values are handled in one shot instead please use the nullish coalescing operator or OR operator")</f>
        <v/>
      </c>
      <c r="L2307" t="inlineStr">
        <is>
          <t>2025-07-15 16:16:33.935 IST</t>
        </is>
      </c>
      <c r="M2307" t="inlineStr">
        <is>
          <t>Soundariya B</t>
        </is>
      </c>
      <c r="N2307" t="inlineStr">
        <is>
          <t>Yes</t>
        </is>
      </c>
      <c r="O2307" t="inlineStr">
        <is>
          <t>Yes</t>
        </is>
      </c>
      <c r="P2307" t="inlineStr">
        <is>
          <t>Soundariya B</t>
        </is>
      </c>
      <c r="Q2307" t="inlineStr">
        <is>
          <t>Bad</t>
        </is>
      </c>
    </row>
    <row r="2308">
      <c r="A2308" t="inlineStr">
        <is>
          <t>dhruv.p</t>
        </is>
      </c>
      <c r="B2308" t="inlineStr">
        <is>
          <t>Dhruv Pahadia</t>
        </is>
      </c>
      <c r="C2308" t="inlineStr">
        <is>
          <t>dhruv.p@osmosys.co</t>
        </is>
      </c>
      <c r="D2308" t="inlineStr">
        <is>
          <t>incident-reporter</t>
        </is>
      </c>
      <c r="E2308">
        <f>HYPERLINK("http://gitlab.osmosys.co/incident-reporter/incident-reporter-app", "OQSHA Mobile App")</f>
        <v/>
      </c>
      <c r="F2308">
        <f>HYPERLINK("http://gitlab.osmosys.co/incident-reporter/incident-reporter-app/-/merge_requests/1774", "feat: convert oqsha to pwa and implement user registration")</f>
        <v/>
      </c>
      <c r="G2308" t="inlineStr">
        <is>
          <t>feat/qr-scan-refactor</t>
        </is>
      </c>
      <c r="H2308" t="inlineStr">
        <is>
          <t>sprint-17</t>
        </is>
      </c>
      <c r="I2308" t="inlineStr">
        <is>
          <t>merged</t>
        </is>
      </c>
      <c r="J2308" t="inlineStr">
        <is>
          <t>34483d4f07c0b5e25a1b5efcb6b604b4ca01e507</t>
        </is>
      </c>
      <c r="K2308">
        <f>HYPERLINK("http://gitlab.osmosys.co/incident-reporter/incident-reporter-app/-/merge_requests/1774#note_237347", "fixed")</f>
        <v/>
      </c>
      <c r="L2308" t="inlineStr">
        <is>
          <t>2025-07-16 11:32:27.591 IST</t>
        </is>
      </c>
      <c r="M2308" t="inlineStr">
        <is>
          <t>Dhruv Pahadia</t>
        </is>
      </c>
      <c r="N2308" t="inlineStr">
        <is>
          <t>No</t>
        </is>
      </c>
      <c r="O2308" t="inlineStr">
        <is>
          <t>Yes</t>
        </is>
      </c>
      <c r="P2308" t="inlineStr">
        <is>
          <t>Soundariya B</t>
        </is>
      </c>
      <c r="Q2308" t="inlineStr">
        <is>
          <t>Bad</t>
        </is>
      </c>
    </row>
    <row r="2309">
      <c r="A2309" t="inlineStr">
        <is>
          <t>dhruv.p</t>
        </is>
      </c>
      <c r="B2309" t="inlineStr">
        <is>
          <t>Dhruv Pahadia</t>
        </is>
      </c>
      <c r="C2309" t="inlineStr">
        <is>
          <t>dhruv.p@osmosys.co</t>
        </is>
      </c>
      <c r="D2309" t="inlineStr">
        <is>
          <t>incident-reporter</t>
        </is>
      </c>
      <c r="E2309">
        <f>HYPERLINK("http://gitlab.osmosys.co/incident-reporter/incident-reporter-app", "OQSHA Mobile App")</f>
        <v/>
      </c>
      <c r="F2309">
        <f>HYPERLINK("http://gitlab.osmosys.co/incident-reporter/incident-reporter-app/-/merge_requests/1774", "feat: convert oqsha to pwa and implement user registration")</f>
        <v/>
      </c>
      <c r="G2309" t="inlineStr">
        <is>
          <t>feat/qr-scan-refactor</t>
        </is>
      </c>
      <c r="H2309" t="inlineStr">
        <is>
          <t>sprint-17</t>
        </is>
      </c>
      <c r="I2309" t="inlineStr">
        <is>
          <t>merged</t>
        </is>
      </c>
      <c r="J2309" t="inlineStr">
        <is>
          <t>feeba4e93400f7aefc3d1b0795bbd09194611116</t>
        </is>
      </c>
      <c r="K2309">
        <f>HYPERLINK("http://gitlab.osmosys.co/incident-reporter/incident-reporter-app/-/merge_requests/1774#note_236900", "Please give the meaning full name, userInDb is not makes sense and this instance is not required in html")</f>
        <v/>
      </c>
      <c r="L2309" t="inlineStr">
        <is>
          <t>2025-07-15 16:16:34.010 IST</t>
        </is>
      </c>
      <c r="M2309" t="inlineStr">
        <is>
          <t>Soundariya B</t>
        </is>
      </c>
      <c r="N2309" t="inlineStr">
        <is>
          <t>Yes</t>
        </is>
      </c>
      <c r="O2309" t="inlineStr">
        <is>
          <t>Yes</t>
        </is>
      </c>
      <c r="P2309" t="inlineStr">
        <is>
          <t>Soundariya B</t>
        </is>
      </c>
      <c r="Q2309" t="inlineStr">
        <is>
          <t>Bad</t>
        </is>
      </c>
    </row>
    <row r="2310">
      <c r="A2310" t="inlineStr">
        <is>
          <t>dhruv.p</t>
        </is>
      </c>
      <c r="B2310" t="inlineStr">
        <is>
          <t>Dhruv Pahadia</t>
        </is>
      </c>
      <c r="C2310" t="inlineStr">
        <is>
          <t>dhruv.p@osmosys.co</t>
        </is>
      </c>
      <c r="D2310" t="inlineStr">
        <is>
          <t>incident-reporter</t>
        </is>
      </c>
      <c r="E2310">
        <f>HYPERLINK("http://gitlab.osmosys.co/incident-reporter/incident-reporter-app", "OQSHA Mobile App")</f>
        <v/>
      </c>
      <c r="F2310">
        <f>HYPERLINK("http://gitlab.osmosys.co/incident-reporter/incident-reporter-app/-/merge_requests/1774", "feat: convert oqsha to pwa and implement user registration")</f>
        <v/>
      </c>
      <c r="G2310" t="inlineStr">
        <is>
          <t>feat/qr-scan-refactor</t>
        </is>
      </c>
      <c r="H2310" t="inlineStr">
        <is>
          <t>sprint-17</t>
        </is>
      </c>
      <c r="I2310" t="inlineStr">
        <is>
          <t>merged</t>
        </is>
      </c>
      <c r="J2310" t="inlineStr">
        <is>
          <t>feeba4e93400f7aefc3d1b0795bbd09194611116</t>
        </is>
      </c>
      <c r="K2310">
        <f>HYPERLINK("http://gitlab.osmosys.co/incident-reporter/incident-reporter-app/-/merge_requests/1774#note_237247", "Changed the name and this is required in HTML to not show pin-verification page when user already exists")</f>
        <v/>
      </c>
      <c r="L2310" t="inlineStr">
        <is>
          <t>2025-07-16 10:02:37.790 IST</t>
        </is>
      </c>
      <c r="M2310" t="inlineStr">
        <is>
          <t>Dhruv Pahadia</t>
        </is>
      </c>
      <c r="N2310" t="inlineStr">
        <is>
          <t>No</t>
        </is>
      </c>
      <c r="O2310" t="inlineStr">
        <is>
          <t>Yes</t>
        </is>
      </c>
      <c r="P2310" t="inlineStr">
        <is>
          <t>Soundariya B</t>
        </is>
      </c>
      <c r="Q2310" t="inlineStr">
        <is>
          <t>Bad</t>
        </is>
      </c>
    </row>
    <row r="2311">
      <c r="A2311" t="inlineStr">
        <is>
          <t>dhruv.p</t>
        </is>
      </c>
      <c r="B2311" t="inlineStr">
        <is>
          <t>Dhruv Pahadia</t>
        </is>
      </c>
      <c r="C2311" t="inlineStr">
        <is>
          <t>dhruv.p@osmosys.co</t>
        </is>
      </c>
      <c r="D2311" t="inlineStr">
        <is>
          <t>incident-reporter</t>
        </is>
      </c>
      <c r="E2311">
        <f>HYPERLINK("http://gitlab.osmosys.co/incident-reporter/incident-reporter-app", "OQSHA Mobile App")</f>
        <v/>
      </c>
      <c r="F2311">
        <f>HYPERLINK("http://gitlab.osmosys.co/incident-reporter/incident-reporter-app/-/merge_requests/1774", "feat: convert oqsha to pwa and implement user registration")</f>
        <v/>
      </c>
      <c r="G2311" t="inlineStr">
        <is>
          <t>feat/qr-scan-refactor</t>
        </is>
      </c>
      <c r="H2311" t="inlineStr">
        <is>
          <t>sprint-17</t>
        </is>
      </c>
      <c r="I2311" t="inlineStr">
        <is>
          <t>merged</t>
        </is>
      </c>
      <c r="J2311" t="inlineStr">
        <is>
          <t>feeba4e93400f7aefc3d1b0795bbd09194611116</t>
        </is>
      </c>
      <c r="K2311">
        <f>HYPERLINK("http://gitlab.osmosys.co/incident-reporter/incident-reporter-app/-/merge_requests/1774#note_237408", "ok but why here 'this' using here in html? can you explain it please?")</f>
        <v/>
      </c>
      <c r="L2311" t="inlineStr">
        <is>
          <t>2025-07-16 12:52:31.368 IST</t>
        </is>
      </c>
      <c r="M2311" t="inlineStr">
        <is>
          <t>Soundariya B</t>
        </is>
      </c>
      <c r="N2311" t="inlineStr">
        <is>
          <t>Yes</t>
        </is>
      </c>
      <c r="O2311" t="inlineStr">
        <is>
          <t>Yes</t>
        </is>
      </c>
      <c r="P2311" t="inlineStr">
        <is>
          <t>Soundariya B</t>
        </is>
      </c>
      <c r="Q2311" t="inlineStr">
        <is>
          <t>Bad</t>
        </is>
      </c>
    </row>
    <row r="2312">
      <c r="A2312" t="inlineStr">
        <is>
          <t>dhruv.p</t>
        </is>
      </c>
      <c r="B2312" t="inlineStr">
        <is>
          <t>Dhruv Pahadia</t>
        </is>
      </c>
      <c r="C2312" t="inlineStr">
        <is>
          <t>dhruv.p@osmosys.co</t>
        </is>
      </c>
      <c r="D2312" t="inlineStr">
        <is>
          <t>incident-reporter</t>
        </is>
      </c>
      <c r="E2312">
        <f>HYPERLINK("http://gitlab.osmosys.co/incident-reporter/incident-reporter-app", "OQSHA Mobile App")</f>
        <v/>
      </c>
      <c r="F2312">
        <f>HYPERLINK("http://gitlab.osmosys.co/incident-reporter/incident-reporter-app/-/merge_requests/1774", "feat: convert oqsha to pwa and implement user registration")</f>
        <v/>
      </c>
      <c r="G2312" t="inlineStr">
        <is>
          <t>feat/qr-scan-refactor</t>
        </is>
      </c>
      <c r="H2312" t="inlineStr">
        <is>
          <t>sprint-17</t>
        </is>
      </c>
      <c r="I2312" t="inlineStr">
        <is>
          <t>merged</t>
        </is>
      </c>
      <c r="J2312" t="inlineStr">
        <is>
          <t>feeba4e93400f7aefc3d1b0795bbd09194611116</t>
        </is>
      </c>
      <c r="K2312">
        <f>HYPERLINK("http://gitlab.osmosys.co/incident-reporter/incident-reporter-app/-/merge_requests/1774#note_237544", "removed")</f>
        <v/>
      </c>
      <c r="L2312" t="inlineStr">
        <is>
          <t>2025-07-16 14:51:30.533 IST</t>
        </is>
      </c>
      <c r="M2312" t="inlineStr">
        <is>
          <t>Dhruv Pahadia</t>
        </is>
      </c>
      <c r="N2312" t="inlineStr">
        <is>
          <t>No</t>
        </is>
      </c>
      <c r="O2312" t="inlineStr">
        <is>
          <t>Yes</t>
        </is>
      </c>
      <c r="P2312" t="inlineStr">
        <is>
          <t>Soundariya B</t>
        </is>
      </c>
      <c r="Q2312" t="inlineStr">
        <is>
          <t>Bad</t>
        </is>
      </c>
    </row>
    <row r="2313">
      <c r="A2313" t="inlineStr">
        <is>
          <t>dhruv.p</t>
        </is>
      </c>
      <c r="B2313" t="inlineStr">
        <is>
          <t>Dhruv Pahadia</t>
        </is>
      </c>
      <c r="C2313" t="inlineStr">
        <is>
          <t>dhruv.p@osmosys.co</t>
        </is>
      </c>
      <c r="D2313" t="inlineStr">
        <is>
          <t>incident-reporter</t>
        </is>
      </c>
      <c r="E2313">
        <f>HYPERLINK("http://gitlab.osmosys.co/incident-reporter/incident-reporter-app", "OQSHA Mobile App")</f>
        <v/>
      </c>
      <c r="F2313">
        <f>HYPERLINK("http://gitlab.osmosys.co/incident-reporter/incident-reporter-app/-/merge_requests/1774", "feat: convert oqsha to pwa and implement user registration")</f>
        <v/>
      </c>
      <c r="G2313" t="inlineStr">
        <is>
          <t>feat/qr-scan-refactor</t>
        </is>
      </c>
      <c r="H2313" t="inlineStr">
        <is>
          <t>sprint-17</t>
        </is>
      </c>
      <c r="I2313" t="inlineStr">
        <is>
          <t>merged</t>
        </is>
      </c>
      <c r="J2313" t="inlineStr">
        <is>
          <t>9cba6d785656f76016a95514f430d95fb94f3eb5</t>
        </is>
      </c>
      <c r="K2313">
        <f>HYPERLINK("http://gitlab.osmosys.co/incident-reporter/incident-reporter-app/-/merge_requests/1774#note_236901", "Please give the meaning full name, userInDb is not makes sense and this instance is not required in html")</f>
        <v/>
      </c>
      <c r="L2313" t="inlineStr">
        <is>
          <t>2025-07-15 16:16:34.060 IST</t>
        </is>
      </c>
      <c r="M2313" t="inlineStr">
        <is>
          <t>Soundariya B</t>
        </is>
      </c>
      <c r="N2313" t="inlineStr">
        <is>
          <t>Yes</t>
        </is>
      </c>
      <c r="O2313" t="inlineStr">
        <is>
          <t>Yes</t>
        </is>
      </c>
      <c r="P2313" t="inlineStr">
        <is>
          <t>Soundariya B</t>
        </is>
      </c>
      <c r="Q2313" t="inlineStr">
        <is>
          <t>Bad</t>
        </is>
      </c>
    </row>
    <row r="2314">
      <c r="A2314" t="inlineStr">
        <is>
          <t>dhruv.p</t>
        </is>
      </c>
      <c r="B2314" t="inlineStr">
        <is>
          <t>Dhruv Pahadia</t>
        </is>
      </c>
      <c r="C2314" t="inlineStr">
        <is>
          <t>dhruv.p@osmosys.co</t>
        </is>
      </c>
      <c r="D2314" t="inlineStr">
        <is>
          <t>incident-reporter</t>
        </is>
      </c>
      <c r="E2314">
        <f>HYPERLINK("http://gitlab.osmosys.co/incident-reporter/incident-reporter-app", "OQSHA Mobile App")</f>
        <v/>
      </c>
      <c r="F2314">
        <f>HYPERLINK("http://gitlab.osmosys.co/incident-reporter/incident-reporter-app/-/merge_requests/1774", "feat: convert oqsha to pwa and implement user registration")</f>
        <v/>
      </c>
      <c r="G2314" t="inlineStr">
        <is>
          <t>feat/qr-scan-refactor</t>
        </is>
      </c>
      <c r="H2314" t="inlineStr">
        <is>
          <t>sprint-17</t>
        </is>
      </c>
      <c r="I2314" t="inlineStr">
        <is>
          <t>merged</t>
        </is>
      </c>
      <c r="J2314" t="inlineStr">
        <is>
          <t>9cba6d785656f76016a95514f430d95fb94f3eb5</t>
        </is>
      </c>
      <c r="K2314">
        <f>HYPERLINK("http://gitlab.osmosys.co/incident-reporter/incident-reporter-app/-/merge_requests/1774#note_237248", "Changed the name and this is required in HTML to not show pin-verification page when user already exists")</f>
        <v/>
      </c>
      <c r="L2314" t="inlineStr">
        <is>
          <t>2025-07-16 10:02:57.577 IST</t>
        </is>
      </c>
      <c r="M2314" t="inlineStr">
        <is>
          <t>Dhruv Pahadia</t>
        </is>
      </c>
      <c r="N2314" t="inlineStr">
        <is>
          <t>No</t>
        </is>
      </c>
      <c r="O2314" t="inlineStr">
        <is>
          <t>Yes</t>
        </is>
      </c>
      <c r="P2314" t="inlineStr">
        <is>
          <t>Soundariya B</t>
        </is>
      </c>
      <c r="Q2314" t="inlineStr">
        <is>
          <t>Bad</t>
        </is>
      </c>
    </row>
    <row r="2315">
      <c r="A2315" t="inlineStr">
        <is>
          <t>dhruv.p</t>
        </is>
      </c>
      <c r="B2315" t="inlineStr">
        <is>
          <t>Dhruv Pahadia</t>
        </is>
      </c>
      <c r="C2315" t="inlineStr">
        <is>
          <t>dhruv.p@osmosys.co</t>
        </is>
      </c>
      <c r="D2315" t="inlineStr">
        <is>
          <t>incident-reporter</t>
        </is>
      </c>
      <c r="E2315">
        <f>HYPERLINK("http://gitlab.osmosys.co/incident-reporter/incident-reporter-app", "OQSHA Mobile App")</f>
        <v/>
      </c>
      <c r="F2315">
        <f>HYPERLINK("http://gitlab.osmosys.co/incident-reporter/incident-reporter-app/-/merge_requests/1774", "feat: convert oqsha to pwa and implement user registration")</f>
        <v/>
      </c>
      <c r="G2315" t="inlineStr">
        <is>
          <t>feat/qr-scan-refactor</t>
        </is>
      </c>
      <c r="H2315" t="inlineStr">
        <is>
          <t>sprint-17</t>
        </is>
      </c>
      <c r="I2315" t="inlineStr">
        <is>
          <t>merged</t>
        </is>
      </c>
      <c r="J2315" t="inlineStr">
        <is>
          <t>9cba6d785656f76016a95514f430d95fb94f3eb5</t>
        </is>
      </c>
      <c r="K2315">
        <f>HYPERLINK("http://gitlab.osmosys.co/incident-reporter/incident-reporter-app/-/merge_requests/1774#note_237409", "ok but why here 'this' using here in html? can you explain it please?")</f>
        <v/>
      </c>
      <c r="L2315" t="inlineStr">
        <is>
          <t>2025-07-16 12:52:42.856 IST</t>
        </is>
      </c>
      <c r="M2315" t="inlineStr">
        <is>
          <t>Soundariya B</t>
        </is>
      </c>
      <c r="N2315" t="inlineStr">
        <is>
          <t>Yes</t>
        </is>
      </c>
      <c r="O2315" t="inlineStr">
        <is>
          <t>Yes</t>
        </is>
      </c>
      <c r="P2315" t="inlineStr">
        <is>
          <t>Soundariya B</t>
        </is>
      </c>
      <c r="Q2315" t="inlineStr">
        <is>
          <t>Bad</t>
        </is>
      </c>
    </row>
    <row r="2316">
      <c r="A2316" t="inlineStr">
        <is>
          <t>dhruv.p</t>
        </is>
      </c>
      <c r="B2316" t="inlineStr">
        <is>
          <t>Dhruv Pahadia</t>
        </is>
      </c>
      <c r="C2316" t="inlineStr">
        <is>
          <t>dhruv.p@osmosys.co</t>
        </is>
      </c>
      <c r="D2316" t="inlineStr">
        <is>
          <t>incident-reporter</t>
        </is>
      </c>
      <c r="E2316">
        <f>HYPERLINK("http://gitlab.osmosys.co/incident-reporter/incident-reporter-app", "OQSHA Mobile App")</f>
        <v/>
      </c>
      <c r="F2316">
        <f>HYPERLINK("http://gitlab.osmosys.co/incident-reporter/incident-reporter-app/-/merge_requests/1774", "feat: convert oqsha to pwa and implement user registration")</f>
        <v/>
      </c>
      <c r="G2316" t="inlineStr">
        <is>
          <t>feat/qr-scan-refactor</t>
        </is>
      </c>
      <c r="H2316" t="inlineStr">
        <is>
          <t>sprint-17</t>
        </is>
      </c>
      <c r="I2316" t="inlineStr">
        <is>
          <t>merged</t>
        </is>
      </c>
      <c r="J2316" t="inlineStr">
        <is>
          <t>9cba6d785656f76016a95514f430d95fb94f3eb5</t>
        </is>
      </c>
      <c r="K2316">
        <f>HYPERLINK("http://gitlab.osmosys.co/incident-reporter/incident-reporter-app/-/merge_requests/1774#note_237538", "removed 'this'")</f>
        <v/>
      </c>
      <c r="L2316" t="inlineStr">
        <is>
          <t>2025-07-16 14:49:10.342 IST</t>
        </is>
      </c>
      <c r="M2316" t="inlineStr">
        <is>
          <t>Dhruv Pahadia</t>
        </is>
      </c>
      <c r="N2316" t="inlineStr">
        <is>
          <t>No</t>
        </is>
      </c>
      <c r="O2316" t="inlineStr">
        <is>
          <t>Yes</t>
        </is>
      </c>
      <c r="P2316" t="inlineStr">
        <is>
          <t>Soundariya B</t>
        </is>
      </c>
      <c r="Q2316" t="inlineStr">
        <is>
          <t>Bad</t>
        </is>
      </c>
    </row>
    <row r="2317">
      <c r="A2317" t="inlineStr">
        <is>
          <t>dhruv.p</t>
        </is>
      </c>
      <c r="B2317" t="inlineStr">
        <is>
          <t>Dhruv Pahadia</t>
        </is>
      </c>
      <c r="C2317" t="inlineStr">
        <is>
          <t>dhruv.p@osmosys.co</t>
        </is>
      </c>
      <c r="D2317" t="inlineStr">
        <is>
          <t>incident-reporter</t>
        </is>
      </c>
      <c r="E2317">
        <f>HYPERLINK("http://gitlab.osmosys.co/incident-reporter/incident-reporter-app", "OQSHA Mobile App")</f>
        <v/>
      </c>
      <c r="F2317">
        <f>HYPERLINK("http://gitlab.osmosys.co/incident-reporter/incident-reporter-app/-/merge_requests/1774", "feat: convert oqsha to pwa and implement user registration")</f>
        <v/>
      </c>
      <c r="G2317" t="inlineStr">
        <is>
          <t>feat/qr-scan-refactor</t>
        </is>
      </c>
      <c r="H2317" t="inlineStr">
        <is>
          <t>sprint-17</t>
        </is>
      </c>
      <c r="I2317" t="inlineStr">
        <is>
          <t>merged</t>
        </is>
      </c>
      <c r="J2317" t="inlineStr">
        <is>
          <t>a82eec4adca1a640e4880a06781c49c548df967e</t>
        </is>
      </c>
      <c r="K2317">
        <f>HYPERLINK("http://gitlab.osmosys.co/incident-reporter/incident-reporter-app/-/merge_requests/1774#note_236902", "Remove this")</f>
        <v/>
      </c>
      <c r="L2317" t="inlineStr">
        <is>
          <t>2025-07-15 16:16:34.141 IST</t>
        </is>
      </c>
      <c r="M2317" t="inlineStr">
        <is>
          <t>Soundariya B</t>
        </is>
      </c>
      <c r="N2317" t="inlineStr">
        <is>
          <t>Yes</t>
        </is>
      </c>
      <c r="O2317" t="inlineStr">
        <is>
          <t>Yes</t>
        </is>
      </c>
      <c r="P2317" t="inlineStr">
        <is>
          <t>Soundariya B</t>
        </is>
      </c>
      <c r="Q2317" t="inlineStr">
        <is>
          <t>Bad</t>
        </is>
      </c>
    </row>
    <row r="2318">
      <c r="A2318" t="inlineStr">
        <is>
          <t>dhruv.p</t>
        </is>
      </c>
      <c r="B2318" t="inlineStr">
        <is>
          <t>Dhruv Pahadia</t>
        </is>
      </c>
      <c r="C2318" t="inlineStr">
        <is>
          <t>dhruv.p@osmosys.co</t>
        </is>
      </c>
      <c r="D2318" t="inlineStr">
        <is>
          <t>incident-reporter</t>
        </is>
      </c>
      <c r="E2318">
        <f>HYPERLINK("http://gitlab.osmosys.co/incident-reporter/incident-reporter-app", "OQSHA Mobile App")</f>
        <v/>
      </c>
      <c r="F2318">
        <f>HYPERLINK("http://gitlab.osmosys.co/incident-reporter/incident-reporter-app/-/merge_requests/1774", "feat: convert oqsha to pwa and implement user registration")</f>
        <v/>
      </c>
      <c r="G2318" t="inlineStr">
        <is>
          <t>feat/qr-scan-refactor</t>
        </is>
      </c>
      <c r="H2318" t="inlineStr">
        <is>
          <t>sprint-17</t>
        </is>
      </c>
      <c r="I2318" t="inlineStr">
        <is>
          <t>merged</t>
        </is>
      </c>
      <c r="J2318" t="inlineStr">
        <is>
          <t>a82eec4adca1a640e4880a06781c49c548df967e</t>
        </is>
      </c>
      <c r="K2318">
        <f>HYPERLINK("http://gitlab.osmosys.co/incident-reporter/incident-reporter-app/-/merge_requests/1774#note_237249", "This was here before I started working on this and the entire page depends on this")</f>
        <v/>
      </c>
      <c r="L2318" t="inlineStr">
        <is>
          <t>2025-07-16 10:04:01.111 IST</t>
        </is>
      </c>
      <c r="M2318" t="inlineStr">
        <is>
          <t>Dhruv Pahadia</t>
        </is>
      </c>
      <c r="N2318" t="inlineStr">
        <is>
          <t>No</t>
        </is>
      </c>
      <c r="O2318" t="inlineStr">
        <is>
          <t>Yes</t>
        </is>
      </c>
      <c r="P2318" t="inlineStr">
        <is>
          <t>Soundariya B</t>
        </is>
      </c>
      <c r="Q2318" t="inlineStr">
        <is>
          <t>Bad</t>
        </is>
      </c>
    </row>
    <row r="2319">
      <c r="A2319" t="inlineStr">
        <is>
          <t>dhruv.p</t>
        </is>
      </c>
      <c r="B2319" t="inlineStr">
        <is>
          <t>Dhruv Pahadia</t>
        </is>
      </c>
      <c r="C2319" t="inlineStr">
        <is>
          <t>dhruv.p@osmosys.co</t>
        </is>
      </c>
      <c r="D2319" t="inlineStr">
        <is>
          <t>incident-reporter</t>
        </is>
      </c>
      <c r="E2319">
        <f>HYPERLINK("http://gitlab.osmosys.co/incident-reporter/incident-reporter-app", "OQSHA Mobile App")</f>
        <v/>
      </c>
      <c r="F2319">
        <f>HYPERLINK("http://gitlab.osmosys.co/incident-reporter/incident-reporter-app/-/merge_requests/1774", "feat: convert oqsha to pwa and implement user registration")</f>
        <v/>
      </c>
      <c r="G2319" t="inlineStr">
        <is>
          <t>feat/qr-scan-refactor</t>
        </is>
      </c>
      <c r="H2319" t="inlineStr">
        <is>
          <t>sprint-17</t>
        </is>
      </c>
      <c r="I2319" t="inlineStr">
        <is>
          <t>merged</t>
        </is>
      </c>
      <c r="J2319" t="inlineStr">
        <is>
          <t>a82eec4adca1a640e4880a06781c49c548df967e</t>
        </is>
      </c>
      <c r="K2319">
        <f>HYPERLINK("http://gitlab.osmosys.co/incident-reporter/incident-reporter-app/-/merge_requests/1774#note_237410", "So you started working on this in some separate PR?")</f>
        <v/>
      </c>
      <c r="L2319" t="inlineStr">
        <is>
          <t>2025-07-16 12:53:30.138 IST</t>
        </is>
      </c>
      <c r="M2319" t="inlineStr">
        <is>
          <t>Soundariya B</t>
        </is>
      </c>
      <c r="N2319" t="inlineStr">
        <is>
          <t>Yes</t>
        </is>
      </c>
      <c r="O2319" t="inlineStr">
        <is>
          <t>Yes</t>
        </is>
      </c>
      <c r="P2319" t="inlineStr">
        <is>
          <t>Soundariya B</t>
        </is>
      </c>
      <c r="Q2319" t="inlineStr">
        <is>
          <t>Bad</t>
        </is>
      </c>
    </row>
    <row r="2320">
      <c r="A2320" t="inlineStr">
        <is>
          <t>dhruv.p</t>
        </is>
      </c>
      <c r="B2320" t="inlineStr">
        <is>
          <t>Dhruv Pahadia</t>
        </is>
      </c>
      <c r="C2320" t="inlineStr">
        <is>
          <t>dhruv.p@osmosys.co</t>
        </is>
      </c>
      <c r="D2320" t="inlineStr">
        <is>
          <t>incident-reporter</t>
        </is>
      </c>
      <c r="E2320">
        <f>HYPERLINK("http://gitlab.osmosys.co/incident-reporter/incident-reporter-app", "OQSHA Mobile App")</f>
        <v/>
      </c>
      <c r="F2320">
        <f>HYPERLINK("http://gitlab.osmosys.co/incident-reporter/incident-reporter-app/-/merge_requests/1774", "feat: convert oqsha to pwa and implement user registration")</f>
        <v/>
      </c>
      <c r="G2320" t="inlineStr">
        <is>
          <t>feat/qr-scan-refactor</t>
        </is>
      </c>
      <c r="H2320" t="inlineStr">
        <is>
          <t>sprint-17</t>
        </is>
      </c>
      <c r="I2320" t="inlineStr">
        <is>
          <t>merged</t>
        </is>
      </c>
      <c r="J2320" t="inlineStr">
        <is>
          <t>a82eec4adca1a640e4880a06781c49c548df967e</t>
        </is>
      </c>
      <c r="K2320">
        <f>HYPERLINK("http://gitlab.osmosys.co/incident-reporter/incident-reporter-app/-/merge_requests/1774#note_237518", "No I meant that pin-verification page already had these lint ignore lines before I started working on my task.
This entire page is filled with 'any' if I removed this then entire page would throw lint errors.
If you want me to put data type for the entire page, it would required a dedicated task.")</f>
        <v/>
      </c>
      <c r="L2320" t="inlineStr">
        <is>
          <t>2025-07-16 14:44:11.130 IST</t>
        </is>
      </c>
      <c r="M2320" t="inlineStr">
        <is>
          <t>Dhruv Pahadia</t>
        </is>
      </c>
      <c r="N2320" t="inlineStr">
        <is>
          <t>No</t>
        </is>
      </c>
      <c r="O2320" t="inlineStr">
        <is>
          <t>Yes</t>
        </is>
      </c>
      <c r="P2320" t="inlineStr">
        <is>
          <t>Soundariya B</t>
        </is>
      </c>
      <c r="Q2320" t="inlineStr">
        <is>
          <t>Bad</t>
        </is>
      </c>
    </row>
    <row r="2321">
      <c r="A2321" t="inlineStr">
        <is>
          <t>dhruv.p</t>
        </is>
      </c>
      <c r="B2321" t="inlineStr">
        <is>
          <t>Dhruv Pahadia</t>
        </is>
      </c>
      <c r="C2321" t="inlineStr">
        <is>
          <t>dhruv.p@osmosys.co</t>
        </is>
      </c>
      <c r="D2321" t="inlineStr">
        <is>
          <t>incident-reporter</t>
        </is>
      </c>
      <c r="E2321">
        <f>HYPERLINK("http://gitlab.osmosys.co/incident-reporter/incident-reporter-app", "OQSHA Mobile App")</f>
        <v/>
      </c>
      <c r="F2321">
        <f>HYPERLINK("http://gitlab.osmosys.co/incident-reporter/incident-reporter-app/-/merge_requests/1774", "feat: convert oqsha to pwa and implement user registration")</f>
        <v/>
      </c>
      <c r="G2321" t="inlineStr">
        <is>
          <t>feat/qr-scan-refactor</t>
        </is>
      </c>
      <c r="H2321" t="inlineStr">
        <is>
          <t>sprint-17</t>
        </is>
      </c>
      <c r="I2321" t="inlineStr">
        <is>
          <t>merged</t>
        </is>
      </c>
      <c r="J2321" t="inlineStr">
        <is>
          <t>a057eacd123c8b27b12bf76274273837797676af</t>
        </is>
      </c>
      <c r="K2321">
        <f>HYPERLINK("http://gitlab.osmosys.co/incident-reporter/incident-reporter-app/-/merge_requests/1774#note_236903", "Use absolute path please")</f>
        <v/>
      </c>
      <c r="L2321" t="inlineStr">
        <is>
          <t>2025-07-15 16:16:34.212 IST</t>
        </is>
      </c>
      <c r="M2321" t="inlineStr">
        <is>
          <t>Soundariya B</t>
        </is>
      </c>
      <c r="N2321" t="inlineStr">
        <is>
          <t>Yes</t>
        </is>
      </c>
      <c r="O2321" t="inlineStr">
        <is>
          <t>Yes</t>
        </is>
      </c>
      <c r="P2321" t="inlineStr">
        <is>
          <t>Soundariya B</t>
        </is>
      </c>
      <c r="Q2321" t="inlineStr">
        <is>
          <t>Bad</t>
        </is>
      </c>
    </row>
    <row r="2322">
      <c r="A2322" t="inlineStr">
        <is>
          <t>dhruv.p</t>
        </is>
      </c>
      <c r="B2322" t="inlineStr">
        <is>
          <t>Dhruv Pahadia</t>
        </is>
      </c>
      <c r="C2322" t="inlineStr">
        <is>
          <t>dhruv.p@osmosys.co</t>
        </is>
      </c>
      <c r="D2322" t="inlineStr">
        <is>
          <t>incident-reporter</t>
        </is>
      </c>
      <c r="E2322">
        <f>HYPERLINK("http://gitlab.osmosys.co/incident-reporter/incident-reporter-app", "OQSHA Mobile App")</f>
        <v/>
      </c>
      <c r="F2322">
        <f>HYPERLINK("http://gitlab.osmosys.co/incident-reporter/incident-reporter-app/-/merge_requests/1774", "feat: convert oqsha to pwa and implement user registration")</f>
        <v/>
      </c>
      <c r="G2322" t="inlineStr">
        <is>
          <t>feat/qr-scan-refactor</t>
        </is>
      </c>
      <c r="H2322" t="inlineStr">
        <is>
          <t>sprint-17</t>
        </is>
      </c>
      <c r="I2322" t="inlineStr">
        <is>
          <t>merged</t>
        </is>
      </c>
      <c r="J2322" t="inlineStr">
        <is>
          <t>a057eacd123c8b27b12bf76274273837797676af</t>
        </is>
      </c>
      <c r="K2322">
        <f>HYPERLINK("http://gitlab.osmosys.co/incident-reporter/incident-reporter-app/-/merge_requests/1774#note_237250", "Fixed")</f>
        <v/>
      </c>
      <c r="L2322" t="inlineStr">
        <is>
          <t>2025-07-16 10:05:32.950 IST</t>
        </is>
      </c>
      <c r="M2322" t="inlineStr">
        <is>
          <t>Dhruv Pahadia</t>
        </is>
      </c>
      <c r="N2322" t="inlineStr">
        <is>
          <t>No</t>
        </is>
      </c>
      <c r="O2322" t="inlineStr">
        <is>
          <t>Yes</t>
        </is>
      </c>
      <c r="P2322" t="inlineStr">
        <is>
          <t>Soundariya B</t>
        </is>
      </c>
      <c r="Q2322" t="inlineStr">
        <is>
          <t>Bad</t>
        </is>
      </c>
    </row>
    <row r="2323">
      <c r="A2323" t="inlineStr">
        <is>
          <t>dhruv.p</t>
        </is>
      </c>
      <c r="B2323" t="inlineStr">
        <is>
          <t>Dhruv Pahadia</t>
        </is>
      </c>
      <c r="C2323" t="inlineStr">
        <is>
          <t>dhruv.p@osmosys.co</t>
        </is>
      </c>
      <c r="D2323" t="inlineStr">
        <is>
          <t>incident-reporter</t>
        </is>
      </c>
      <c r="E2323">
        <f>HYPERLINK("http://gitlab.osmosys.co/incident-reporter/incident-reporter-app", "OQSHA Mobile App")</f>
        <v/>
      </c>
      <c r="F2323">
        <f>HYPERLINK("http://gitlab.osmosys.co/incident-reporter/incident-reporter-app/-/merge_requests/1774", "feat: convert oqsha to pwa and implement user registration")</f>
        <v/>
      </c>
      <c r="G2323" t="inlineStr">
        <is>
          <t>feat/qr-scan-refactor</t>
        </is>
      </c>
      <c r="H2323" t="inlineStr">
        <is>
          <t>sprint-17</t>
        </is>
      </c>
      <c r="I2323" t="inlineStr">
        <is>
          <t>merged</t>
        </is>
      </c>
      <c r="J2323" t="inlineStr">
        <is>
          <t>a057eacd123c8b27b12bf76274273837797676af</t>
        </is>
      </c>
      <c r="K2323">
        <f>HYPERLINK("http://gitlab.osmosys.co/incident-reporter/incident-reporter-app/-/merge_requests/1774#note_237415", "Alt value is not meaningful and doesn't make sense so can you specific which logo it is so when image breaks then by alt value will gives an idea")</f>
        <v/>
      </c>
      <c r="L2323" t="inlineStr">
        <is>
          <t>2025-07-16 12:55:09.959 IST</t>
        </is>
      </c>
      <c r="M2323" t="inlineStr">
        <is>
          <t>Soundariya B</t>
        </is>
      </c>
      <c r="N2323" t="inlineStr">
        <is>
          <t>Yes</t>
        </is>
      </c>
      <c r="O2323" t="inlineStr">
        <is>
          <t>Yes</t>
        </is>
      </c>
      <c r="P2323" t="inlineStr">
        <is>
          <t>Soundariya B</t>
        </is>
      </c>
      <c r="Q2323" t="inlineStr">
        <is>
          <t>Bad</t>
        </is>
      </c>
    </row>
    <row r="2324">
      <c r="A2324" t="inlineStr">
        <is>
          <t>dhruv.p</t>
        </is>
      </c>
      <c r="B2324" t="inlineStr">
        <is>
          <t>Dhruv Pahadia</t>
        </is>
      </c>
      <c r="C2324" t="inlineStr">
        <is>
          <t>dhruv.p@osmosys.co</t>
        </is>
      </c>
      <c r="D2324" t="inlineStr">
        <is>
          <t>incident-reporter</t>
        </is>
      </c>
      <c r="E2324">
        <f>HYPERLINK("http://gitlab.osmosys.co/incident-reporter/incident-reporter-app", "OQSHA Mobile App")</f>
        <v/>
      </c>
      <c r="F2324">
        <f>HYPERLINK("http://gitlab.osmosys.co/incident-reporter/incident-reporter-app/-/merge_requests/1774", "feat: convert oqsha to pwa and implement user registration")</f>
        <v/>
      </c>
      <c r="G2324" t="inlineStr">
        <is>
          <t>feat/qr-scan-refactor</t>
        </is>
      </c>
      <c r="H2324" t="inlineStr">
        <is>
          <t>sprint-17</t>
        </is>
      </c>
      <c r="I2324" t="inlineStr">
        <is>
          <t>merged</t>
        </is>
      </c>
      <c r="J2324" t="inlineStr">
        <is>
          <t>a057eacd123c8b27b12bf76274273837797676af</t>
        </is>
      </c>
      <c r="K2324">
        <f>HYPERLINK("http://gitlab.osmosys.co/incident-reporter/incident-reporter-app/-/merge_requests/1774#note_237537", "Put it as "Oqsha logo"")</f>
        <v/>
      </c>
      <c r="L2324" t="inlineStr">
        <is>
          <t>2025-07-16 14:48:36.773 IST</t>
        </is>
      </c>
      <c r="M2324" t="inlineStr">
        <is>
          <t>Dhruv Pahadia</t>
        </is>
      </c>
      <c r="N2324" t="inlineStr">
        <is>
          <t>No</t>
        </is>
      </c>
      <c r="O2324" t="inlineStr">
        <is>
          <t>Yes</t>
        </is>
      </c>
      <c r="P2324" t="inlineStr">
        <is>
          <t>Soundariya B</t>
        </is>
      </c>
      <c r="Q2324" t="inlineStr">
        <is>
          <t>Bad</t>
        </is>
      </c>
    </row>
    <row r="2325">
      <c r="A2325" t="inlineStr">
        <is>
          <t>dhruv.p</t>
        </is>
      </c>
      <c r="B2325" t="inlineStr">
        <is>
          <t>Dhruv Pahadia</t>
        </is>
      </c>
      <c r="C2325" t="inlineStr">
        <is>
          <t>dhruv.p@osmosys.co</t>
        </is>
      </c>
      <c r="D2325" t="inlineStr">
        <is>
          <t>incident-reporter</t>
        </is>
      </c>
      <c r="E2325">
        <f>HYPERLINK("http://gitlab.osmosys.co/incident-reporter/incident-reporter-app", "OQSHA Mobile App")</f>
        <v/>
      </c>
      <c r="F2325">
        <f>HYPERLINK("http://gitlab.osmosys.co/incident-reporter/incident-reporter-app/-/merge_requests/1774", "feat: convert oqsha to pwa and implement user registration")</f>
        <v/>
      </c>
      <c r="G2325" t="inlineStr">
        <is>
          <t>feat/qr-scan-refactor</t>
        </is>
      </c>
      <c r="H2325" t="inlineStr">
        <is>
          <t>sprint-17</t>
        </is>
      </c>
      <c r="I2325" t="inlineStr">
        <is>
          <t>merged</t>
        </is>
      </c>
      <c r="J2325" t="inlineStr">
        <is>
          <t>608e707b7998e8c8bde6e756ba85f0b74c2e16d9</t>
        </is>
      </c>
      <c r="K2325">
        <f>HYPERLINK("http://gitlab.osmosys.co/incident-reporter/incident-reporter-app/-/merge_requests/1774#note_236904", "Alt attribute must have value and related to the image in meaning full way")</f>
        <v/>
      </c>
      <c r="L2325" t="inlineStr">
        <is>
          <t>2025-07-15 16:16:34.262 IST</t>
        </is>
      </c>
      <c r="M2325" t="inlineStr">
        <is>
          <t>Soundariya B</t>
        </is>
      </c>
      <c r="N2325" t="inlineStr">
        <is>
          <t>Yes</t>
        </is>
      </c>
      <c r="O2325" t="inlineStr">
        <is>
          <t>Yes</t>
        </is>
      </c>
      <c r="P2325" t="inlineStr">
        <is>
          <t>Soundariya B</t>
        </is>
      </c>
      <c r="Q2325" t="inlineStr">
        <is>
          <t>Bad</t>
        </is>
      </c>
    </row>
    <row r="2326">
      <c r="A2326" t="inlineStr">
        <is>
          <t>dhruv.p</t>
        </is>
      </c>
      <c r="B2326" t="inlineStr">
        <is>
          <t>Dhruv Pahadia</t>
        </is>
      </c>
      <c r="C2326" t="inlineStr">
        <is>
          <t>dhruv.p@osmosys.co</t>
        </is>
      </c>
      <c r="D2326" t="inlineStr">
        <is>
          <t>incident-reporter</t>
        </is>
      </c>
      <c r="E2326">
        <f>HYPERLINK("http://gitlab.osmosys.co/incident-reporter/incident-reporter-app", "OQSHA Mobile App")</f>
        <v/>
      </c>
      <c r="F2326">
        <f>HYPERLINK("http://gitlab.osmosys.co/incident-reporter/incident-reporter-app/-/merge_requests/1774", "feat: convert oqsha to pwa and implement user registration")</f>
        <v/>
      </c>
      <c r="G2326" t="inlineStr">
        <is>
          <t>feat/qr-scan-refactor</t>
        </is>
      </c>
      <c r="H2326" t="inlineStr">
        <is>
          <t>sprint-17</t>
        </is>
      </c>
      <c r="I2326" t="inlineStr">
        <is>
          <t>merged</t>
        </is>
      </c>
      <c r="J2326" t="inlineStr">
        <is>
          <t>608e707b7998e8c8bde6e756ba85f0b74c2e16d9</t>
        </is>
      </c>
      <c r="K2326">
        <f>HYPERLINK("http://gitlab.osmosys.co/incident-reporter/incident-reporter-app/-/merge_requests/1774#note_237251", "Fixed")</f>
        <v/>
      </c>
      <c r="L2326" t="inlineStr">
        <is>
          <t>2025-07-16 10:05:44.837 IST</t>
        </is>
      </c>
      <c r="M2326" t="inlineStr">
        <is>
          <t>Dhruv Pahadia</t>
        </is>
      </c>
      <c r="N2326" t="inlineStr">
        <is>
          <t>No</t>
        </is>
      </c>
      <c r="O2326" t="inlineStr">
        <is>
          <t>Yes</t>
        </is>
      </c>
      <c r="P2326" t="inlineStr">
        <is>
          <t>Soundariya B</t>
        </is>
      </c>
      <c r="Q2326" t="inlineStr">
        <is>
          <t>Bad</t>
        </is>
      </c>
    </row>
    <row r="2327">
      <c r="A2327" t="inlineStr">
        <is>
          <t>dhruv.p</t>
        </is>
      </c>
      <c r="B2327" t="inlineStr">
        <is>
          <t>Dhruv Pahadia</t>
        </is>
      </c>
      <c r="C2327" t="inlineStr">
        <is>
          <t>dhruv.p@osmosys.co</t>
        </is>
      </c>
      <c r="D2327" t="inlineStr">
        <is>
          <t>incident-reporter</t>
        </is>
      </c>
      <c r="E2327">
        <f>HYPERLINK("http://gitlab.osmosys.co/incident-reporter/incident-reporter-app", "OQSHA Mobile App")</f>
        <v/>
      </c>
      <c r="F2327">
        <f>HYPERLINK("http://gitlab.osmosys.co/incident-reporter/incident-reporter-app/-/merge_requests/1774", "feat: convert oqsha to pwa and implement user registration")</f>
        <v/>
      </c>
      <c r="G2327" t="inlineStr">
        <is>
          <t>feat/qr-scan-refactor</t>
        </is>
      </c>
      <c r="H2327" t="inlineStr">
        <is>
          <t>sprint-17</t>
        </is>
      </c>
      <c r="I2327" t="inlineStr">
        <is>
          <t>merged</t>
        </is>
      </c>
      <c r="J2327" t="inlineStr">
        <is>
          <t>608e707b7998e8c8bde6e756ba85f0b74c2e16d9</t>
        </is>
      </c>
      <c r="K2327">
        <f>HYPERLINK("http://gitlab.osmosys.co/incident-reporter/incident-reporter-app/-/merge_requests/1774#note_237417", "Alt value is not meaningful and doesn't make sense so can you specific which logo it is so when image breaks then by alt value will gives an idea")</f>
        <v/>
      </c>
      <c r="L2327" t="inlineStr">
        <is>
          <t>2025-07-16 12:55:19.721 IST</t>
        </is>
      </c>
      <c r="M2327" t="inlineStr">
        <is>
          <t>Soundariya B</t>
        </is>
      </c>
      <c r="N2327" t="inlineStr">
        <is>
          <t>Yes</t>
        </is>
      </c>
      <c r="O2327" t="inlineStr">
        <is>
          <t>Yes</t>
        </is>
      </c>
      <c r="P2327" t="inlineStr">
        <is>
          <t>Soundariya B</t>
        </is>
      </c>
      <c r="Q2327" t="inlineStr">
        <is>
          <t>Bad</t>
        </is>
      </c>
    </row>
    <row r="2328">
      <c r="A2328" t="inlineStr">
        <is>
          <t>dhruv.p</t>
        </is>
      </c>
      <c r="B2328" t="inlineStr">
        <is>
          <t>Dhruv Pahadia</t>
        </is>
      </c>
      <c r="C2328" t="inlineStr">
        <is>
          <t>dhruv.p@osmosys.co</t>
        </is>
      </c>
      <c r="D2328" t="inlineStr">
        <is>
          <t>incident-reporter</t>
        </is>
      </c>
      <c r="E2328">
        <f>HYPERLINK("http://gitlab.osmosys.co/incident-reporter/incident-reporter-app", "OQSHA Mobile App")</f>
        <v/>
      </c>
      <c r="F2328">
        <f>HYPERLINK("http://gitlab.osmosys.co/incident-reporter/incident-reporter-app/-/merge_requests/1774", "feat: convert oqsha to pwa and implement user registration")</f>
        <v/>
      </c>
      <c r="G2328" t="inlineStr">
        <is>
          <t>feat/qr-scan-refactor</t>
        </is>
      </c>
      <c r="H2328" t="inlineStr">
        <is>
          <t>sprint-17</t>
        </is>
      </c>
      <c r="I2328" t="inlineStr">
        <is>
          <t>merged</t>
        </is>
      </c>
      <c r="J2328" t="inlineStr">
        <is>
          <t>608e707b7998e8c8bde6e756ba85f0b74c2e16d9</t>
        </is>
      </c>
      <c r="K2328">
        <f>HYPERLINK("http://gitlab.osmosys.co/incident-reporter/incident-reporter-app/-/merge_requests/1774#note_237530", "Put it as "Oqsha logo"")</f>
        <v/>
      </c>
      <c r="L2328" t="inlineStr">
        <is>
          <t>2025-07-16 14:46:50.942 IST</t>
        </is>
      </c>
      <c r="M2328" t="inlineStr">
        <is>
          <t>Dhruv Pahadia</t>
        </is>
      </c>
      <c r="N2328" t="inlineStr">
        <is>
          <t>No</t>
        </is>
      </c>
      <c r="O2328" t="inlineStr">
        <is>
          <t>Yes</t>
        </is>
      </c>
      <c r="P2328" t="inlineStr">
        <is>
          <t>Soundariya B</t>
        </is>
      </c>
      <c r="Q2328" t="inlineStr">
        <is>
          <t>Bad</t>
        </is>
      </c>
    </row>
    <row r="2329">
      <c r="A2329" t="inlineStr">
        <is>
          <t>dhruv.p</t>
        </is>
      </c>
      <c r="B2329" t="inlineStr">
        <is>
          <t>Dhruv Pahadia</t>
        </is>
      </c>
      <c r="C2329" t="inlineStr">
        <is>
          <t>dhruv.p@osmosys.co</t>
        </is>
      </c>
      <c r="D2329" t="inlineStr">
        <is>
          <t>incident-reporter</t>
        </is>
      </c>
      <c r="E2329">
        <f>HYPERLINK("http://gitlab.osmosys.co/incident-reporter/incident-reporter-app", "OQSHA Mobile App")</f>
        <v/>
      </c>
      <c r="F2329">
        <f>HYPERLINK("http://gitlab.osmosys.co/incident-reporter/incident-reporter-app/-/merge_requests/1774", "feat: convert oqsha to pwa and implement user registration")</f>
        <v/>
      </c>
      <c r="G2329" t="inlineStr">
        <is>
          <t>feat/qr-scan-refactor</t>
        </is>
      </c>
      <c r="H2329" t="inlineStr">
        <is>
          <t>sprint-17</t>
        </is>
      </c>
      <c r="I2329" t="inlineStr">
        <is>
          <t>merged</t>
        </is>
      </c>
      <c r="J2329" t="inlineStr">
        <is>
          <t>5392f2a5728ade697b3055e715d0b494d205a200</t>
        </is>
      </c>
      <c r="K2329">
        <f>HYPERLINK("http://gitlab.osmosys.co/incident-reporter/incident-reporter-app/-/merge_requests/1774#note_236905", "Remove this if not required")</f>
        <v/>
      </c>
      <c r="L2329" t="inlineStr">
        <is>
          <t>2025-07-15 16:16:34.316 IST</t>
        </is>
      </c>
      <c r="M2329" t="inlineStr">
        <is>
          <t>Soundariya B</t>
        </is>
      </c>
      <c r="N2329" t="inlineStr">
        <is>
          <t>Yes</t>
        </is>
      </c>
      <c r="O2329" t="inlineStr">
        <is>
          <t>Yes</t>
        </is>
      </c>
      <c r="P2329" t="inlineStr">
        <is>
          <t>Soundariya B</t>
        </is>
      </c>
      <c r="Q2329" t="inlineStr">
        <is>
          <t>Bad</t>
        </is>
      </c>
    </row>
    <row r="2330">
      <c r="A2330" t="inlineStr">
        <is>
          <t>dhruv.p</t>
        </is>
      </c>
      <c r="B2330" t="inlineStr">
        <is>
          <t>Dhruv Pahadia</t>
        </is>
      </c>
      <c r="C2330" t="inlineStr">
        <is>
          <t>dhruv.p@osmosys.co</t>
        </is>
      </c>
      <c r="D2330" t="inlineStr">
        <is>
          <t>incident-reporter</t>
        </is>
      </c>
      <c r="E2330">
        <f>HYPERLINK("http://gitlab.osmosys.co/incident-reporter/incident-reporter-app", "OQSHA Mobile App")</f>
        <v/>
      </c>
      <c r="F2330">
        <f>HYPERLINK("http://gitlab.osmosys.co/incident-reporter/incident-reporter-app/-/merge_requests/1774", "feat: convert oqsha to pwa and implement user registration")</f>
        <v/>
      </c>
      <c r="G2330" t="inlineStr">
        <is>
          <t>feat/qr-scan-refactor</t>
        </is>
      </c>
      <c r="H2330" t="inlineStr">
        <is>
          <t>sprint-17</t>
        </is>
      </c>
      <c r="I2330" t="inlineStr">
        <is>
          <t>merged</t>
        </is>
      </c>
      <c r="J2330" t="inlineStr">
        <is>
          <t>5392f2a5728ade697b3055e715d0b494d205a200</t>
        </is>
      </c>
      <c r="K2330">
        <f>HYPERLINK("http://gitlab.osmosys.co/incident-reporter/incident-reporter-app/-/merge_requests/1774#note_237252", "These might be required in the future, left a comment explaining this, so not removing them for now")</f>
        <v/>
      </c>
      <c r="L2330" t="inlineStr">
        <is>
          <t>2025-07-16 10:06:28.856 IST</t>
        </is>
      </c>
      <c r="M2330" t="inlineStr">
        <is>
          <t>Dhruv Pahadia</t>
        </is>
      </c>
      <c r="N2330" t="inlineStr">
        <is>
          <t>No</t>
        </is>
      </c>
      <c r="O2330" t="inlineStr">
        <is>
          <t>Yes</t>
        </is>
      </c>
      <c r="P2330" t="inlineStr">
        <is>
          <t>Soundariya B</t>
        </is>
      </c>
      <c r="Q2330" t="inlineStr">
        <is>
          <t>Bad</t>
        </is>
      </c>
    </row>
    <row r="2331">
      <c r="A2331" t="inlineStr">
        <is>
          <t>dhruv.p</t>
        </is>
      </c>
      <c r="B2331" t="inlineStr">
        <is>
          <t>Dhruv Pahadia</t>
        </is>
      </c>
      <c r="C2331" t="inlineStr">
        <is>
          <t>dhruv.p@osmosys.co</t>
        </is>
      </c>
      <c r="D2331" t="inlineStr">
        <is>
          <t>incident-reporter</t>
        </is>
      </c>
      <c r="E2331">
        <f>HYPERLINK("http://gitlab.osmosys.co/incident-reporter/incident-reporter-app", "OQSHA Mobile App")</f>
        <v/>
      </c>
      <c r="F2331">
        <f>HYPERLINK("http://gitlab.osmosys.co/incident-reporter/incident-reporter-app/-/merge_requests/1774", "feat: convert oqsha to pwa and implement user registration")</f>
        <v/>
      </c>
      <c r="G2331" t="inlineStr">
        <is>
          <t>feat/qr-scan-refactor</t>
        </is>
      </c>
      <c r="H2331" t="inlineStr">
        <is>
          <t>sprint-17</t>
        </is>
      </c>
      <c r="I2331" t="inlineStr">
        <is>
          <t>merged</t>
        </is>
      </c>
      <c r="J2331" t="inlineStr">
        <is>
          <t>5392f2a5728ade697b3055e715d0b494d205a200</t>
        </is>
      </c>
      <c r="K2331">
        <f>HYPERLINK("http://gitlab.osmosys.co/incident-reporter/incident-reporter-app/-/merge_requests/1774#note_237422", "When this required we can get it from this commit and PR 
And also you can save this PR in your local if you want.")</f>
        <v/>
      </c>
      <c r="L2331" t="inlineStr">
        <is>
          <t>2025-07-16 12:57:08.029 IST</t>
        </is>
      </c>
      <c r="M2331" t="inlineStr">
        <is>
          <t>Soundariya B</t>
        </is>
      </c>
      <c r="N2331" t="inlineStr">
        <is>
          <t>Yes</t>
        </is>
      </c>
      <c r="O2331" t="inlineStr">
        <is>
          <t>Yes</t>
        </is>
      </c>
      <c r="P2331" t="inlineStr">
        <is>
          <t>Soundariya B</t>
        </is>
      </c>
      <c r="Q2331" t="inlineStr">
        <is>
          <t>Bad</t>
        </is>
      </c>
    </row>
    <row r="2332">
      <c r="A2332" t="inlineStr">
        <is>
          <t>dhruv.p</t>
        </is>
      </c>
      <c r="B2332" t="inlineStr">
        <is>
          <t>Dhruv Pahadia</t>
        </is>
      </c>
      <c r="C2332" t="inlineStr">
        <is>
          <t>dhruv.p@osmosys.co</t>
        </is>
      </c>
      <c r="D2332" t="inlineStr">
        <is>
          <t>incident-reporter</t>
        </is>
      </c>
      <c r="E2332">
        <f>HYPERLINK("http://gitlab.osmosys.co/incident-reporter/incident-reporter-app", "OQSHA Mobile App")</f>
        <v/>
      </c>
      <c r="F2332">
        <f>HYPERLINK("http://gitlab.osmosys.co/incident-reporter/incident-reporter-app/-/merge_requests/1774", "feat: convert oqsha to pwa and implement user registration")</f>
        <v/>
      </c>
      <c r="G2332" t="inlineStr">
        <is>
          <t>feat/qr-scan-refactor</t>
        </is>
      </c>
      <c r="H2332" t="inlineStr">
        <is>
          <t>sprint-17</t>
        </is>
      </c>
      <c r="I2332" t="inlineStr">
        <is>
          <t>merged</t>
        </is>
      </c>
      <c r="J2332" t="inlineStr">
        <is>
          <t>5392f2a5728ade697b3055e715d0b494d205a200</t>
        </is>
      </c>
      <c r="K2332">
        <f>HYPERLINK("http://gitlab.osmosys.co/incident-reporter/incident-reporter-app/-/merge_requests/1774#note_237532", "removed")</f>
        <v/>
      </c>
      <c r="L2332" t="inlineStr">
        <is>
          <t>2025-07-16 14:47:40.679 IST</t>
        </is>
      </c>
      <c r="M2332" t="inlineStr">
        <is>
          <t>Dhruv Pahadia</t>
        </is>
      </c>
      <c r="N2332" t="inlineStr">
        <is>
          <t>No</t>
        </is>
      </c>
      <c r="O2332" t="inlineStr">
        <is>
          <t>Yes</t>
        </is>
      </c>
      <c r="P2332" t="inlineStr">
        <is>
          <t>Soundariya B</t>
        </is>
      </c>
      <c r="Q2332" t="inlineStr">
        <is>
          <t>Bad</t>
        </is>
      </c>
    </row>
    <row r="2333">
      <c r="A2333" t="inlineStr">
        <is>
          <t>dhruv.p</t>
        </is>
      </c>
      <c r="B2333" t="inlineStr">
        <is>
          <t>Dhruv Pahadia</t>
        </is>
      </c>
      <c r="C2333" t="inlineStr">
        <is>
          <t>dhruv.p@osmosys.co</t>
        </is>
      </c>
      <c r="D2333" t="inlineStr">
        <is>
          <t>incident-reporter</t>
        </is>
      </c>
      <c r="E2333">
        <f>HYPERLINK("http://gitlab.osmosys.co/incident-reporter/incident-reporter-app", "OQSHA Mobile App")</f>
        <v/>
      </c>
      <c r="F2333">
        <f>HYPERLINK("http://gitlab.osmosys.co/incident-reporter/incident-reporter-app/-/merge_requests/1774", "feat: convert oqsha to pwa and implement user registration")</f>
        <v/>
      </c>
      <c r="G2333" t="inlineStr">
        <is>
          <t>feat/qr-scan-refactor</t>
        </is>
      </c>
      <c r="H2333" t="inlineStr">
        <is>
          <t>sprint-17</t>
        </is>
      </c>
      <c r="I2333" t="inlineStr">
        <is>
          <t>merged</t>
        </is>
      </c>
      <c r="J2333" t="inlineStr">
        <is>
          <t>f60958426839a4924dbb6dbdabee3473c98f40af</t>
        </is>
      </c>
      <c r="K2333">
        <f>HYPERLINK("http://gitlab.osmosys.co/incident-reporter/incident-reporter-app/-/merge_requests/1774#note_236906", "Remove all unnecessary !important")</f>
        <v/>
      </c>
      <c r="L2333" t="inlineStr">
        <is>
          <t>2025-07-15 16:16:34.392 IST</t>
        </is>
      </c>
      <c r="M2333" t="inlineStr">
        <is>
          <t>Soundariya B</t>
        </is>
      </c>
      <c r="N2333" t="inlineStr">
        <is>
          <t>Yes</t>
        </is>
      </c>
      <c r="O2333" t="inlineStr">
        <is>
          <t>Yes</t>
        </is>
      </c>
      <c r="P2333" t="inlineStr">
        <is>
          <t>Soundariya B</t>
        </is>
      </c>
      <c r="Q2333" t="inlineStr">
        <is>
          <t>Bad</t>
        </is>
      </c>
    </row>
    <row r="2334">
      <c r="A2334" t="inlineStr">
        <is>
          <t>dhruv.p</t>
        </is>
      </c>
      <c r="B2334" t="inlineStr">
        <is>
          <t>Dhruv Pahadia</t>
        </is>
      </c>
      <c r="C2334" t="inlineStr">
        <is>
          <t>dhruv.p@osmosys.co</t>
        </is>
      </c>
      <c r="D2334" t="inlineStr">
        <is>
          <t>incident-reporter</t>
        </is>
      </c>
      <c r="E2334">
        <f>HYPERLINK("http://gitlab.osmosys.co/incident-reporter/incident-reporter-app", "OQSHA Mobile App")</f>
        <v/>
      </c>
      <c r="F2334">
        <f>HYPERLINK("http://gitlab.osmosys.co/incident-reporter/incident-reporter-app/-/merge_requests/1774", "feat: convert oqsha to pwa and implement user registration")</f>
        <v/>
      </c>
      <c r="G2334" t="inlineStr">
        <is>
          <t>feat/qr-scan-refactor</t>
        </is>
      </c>
      <c r="H2334" t="inlineStr">
        <is>
          <t>sprint-17</t>
        </is>
      </c>
      <c r="I2334" t="inlineStr">
        <is>
          <t>merged</t>
        </is>
      </c>
      <c r="J2334" t="inlineStr">
        <is>
          <t>f60958426839a4924dbb6dbdabee3473c98f40af</t>
        </is>
      </c>
      <c r="K2334">
        <f>HYPERLINK("http://gitlab.osmosys.co/incident-reporter/incident-reporter-app/-/merge_requests/1774#note_237253", "removed")</f>
        <v/>
      </c>
      <c r="L2334" t="inlineStr">
        <is>
          <t>2025-07-16 10:08:38.047 IST</t>
        </is>
      </c>
      <c r="M2334" t="inlineStr">
        <is>
          <t>Dhruv Pahadia</t>
        </is>
      </c>
      <c r="N2334" t="inlineStr">
        <is>
          <t>No</t>
        </is>
      </c>
      <c r="O2334" t="inlineStr">
        <is>
          <t>Yes</t>
        </is>
      </c>
      <c r="P2334" t="inlineStr">
        <is>
          <t>Soundariya B</t>
        </is>
      </c>
      <c r="Q2334" t="inlineStr">
        <is>
          <t>Bad</t>
        </is>
      </c>
    </row>
    <row r="2335">
      <c r="A2335" t="inlineStr">
        <is>
          <t>dhruv.p</t>
        </is>
      </c>
      <c r="B2335" t="inlineStr">
        <is>
          <t>Dhruv Pahadia</t>
        </is>
      </c>
      <c r="C2335" t="inlineStr">
        <is>
          <t>dhruv.p@osmosys.co</t>
        </is>
      </c>
      <c r="D2335" t="inlineStr">
        <is>
          <t>incident-reporter</t>
        </is>
      </c>
      <c r="E2335">
        <f>HYPERLINK("http://gitlab.osmosys.co/incident-reporter/incident-reporter-app", "OQSHA Mobile App")</f>
        <v/>
      </c>
      <c r="F2335">
        <f>HYPERLINK("http://gitlab.osmosys.co/incident-reporter/incident-reporter-app/-/merge_requests/1774", "feat: convert oqsha to pwa and implement user registration")</f>
        <v/>
      </c>
      <c r="G2335" t="inlineStr">
        <is>
          <t>feat/qr-scan-refactor</t>
        </is>
      </c>
      <c r="H2335" t="inlineStr">
        <is>
          <t>sprint-17</t>
        </is>
      </c>
      <c r="I2335" t="inlineStr">
        <is>
          <t>merged</t>
        </is>
      </c>
      <c r="J2335" t="inlineStr">
        <is>
          <t>ab28210aae4381c2d7fb4263670b75d93f4bc27f</t>
        </is>
      </c>
      <c r="K2335">
        <f>HYPERLINK("http://gitlab.osmosys.co/incident-reporter/incident-reporter-app/-/merge_requests/1774#note_236907", "When the values are not 0, we can use shorthand notation.")</f>
        <v/>
      </c>
      <c r="L2335" t="inlineStr">
        <is>
          <t>2025-07-15 16:16:34.444 IST</t>
        </is>
      </c>
      <c r="M2335" t="inlineStr">
        <is>
          <t>Soundariya B</t>
        </is>
      </c>
      <c r="N2335" t="inlineStr">
        <is>
          <t>Yes</t>
        </is>
      </c>
      <c r="O2335" t="inlineStr">
        <is>
          <t>Yes</t>
        </is>
      </c>
      <c r="P2335" t="inlineStr">
        <is>
          <t>Soundariya B</t>
        </is>
      </c>
      <c r="Q2335" t="inlineStr">
        <is>
          <t>Bad</t>
        </is>
      </c>
    </row>
    <row r="2336">
      <c r="A2336" t="inlineStr">
        <is>
          <t>dhruv.p</t>
        </is>
      </c>
      <c r="B2336" t="inlineStr">
        <is>
          <t>Dhruv Pahadia</t>
        </is>
      </c>
      <c r="C2336" t="inlineStr">
        <is>
          <t>dhruv.p@osmosys.co</t>
        </is>
      </c>
      <c r="D2336" t="inlineStr">
        <is>
          <t>incident-reporter</t>
        </is>
      </c>
      <c r="E2336">
        <f>HYPERLINK("http://gitlab.osmosys.co/incident-reporter/incident-reporter-app", "OQSHA Mobile App")</f>
        <v/>
      </c>
      <c r="F2336">
        <f>HYPERLINK("http://gitlab.osmosys.co/incident-reporter/incident-reporter-app/-/merge_requests/1774", "feat: convert oqsha to pwa and implement user registration")</f>
        <v/>
      </c>
      <c r="G2336" t="inlineStr">
        <is>
          <t>feat/qr-scan-refactor</t>
        </is>
      </c>
      <c r="H2336" t="inlineStr">
        <is>
          <t>sprint-17</t>
        </is>
      </c>
      <c r="I2336" t="inlineStr">
        <is>
          <t>merged</t>
        </is>
      </c>
      <c r="J2336" t="inlineStr">
        <is>
          <t>ab28210aae4381c2d7fb4263670b75d93f4bc27f</t>
        </is>
      </c>
      <c r="K2336">
        <f>HYPERLINK("http://gitlab.osmosys.co/incident-reporter/incident-reporter-app/-/merge_requests/1774#note_237265", "These are already shorthand")</f>
        <v/>
      </c>
      <c r="L2336" t="inlineStr">
        <is>
          <t>2025-07-16 10:21:07.460 IST</t>
        </is>
      </c>
      <c r="M2336" t="inlineStr">
        <is>
          <t>Dhruv Pahadia</t>
        </is>
      </c>
      <c r="N2336" t="inlineStr">
        <is>
          <t>No</t>
        </is>
      </c>
      <c r="O2336" t="inlineStr">
        <is>
          <t>Yes</t>
        </is>
      </c>
      <c r="P2336" t="inlineStr">
        <is>
          <t>Soundariya B</t>
        </is>
      </c>
      <c r="Q2336" t="inlineStr">
        <is>
          <t>Bad</t>
        </is>
      </c>
    </row>
    <row r="2337">
      <c r="A2337" t="inlineStr">
        <is>
          <t>dhruv.p</t>
        </is>
      </c>
      <c r="B2337" t="inlineStr">
        <is>
          <t>Dhruv Pahadia</t>
        </is>
      </c>
      <c r="C2337" t="inlineStr">
        <is>
          <t>dhruv.p@osmosys.co</t>
        </is>
      </c>
      <c r="D2337" t="inlineStr">
        <is>
          <t>incident-reporter</t>
        </is>
      </c>
      <c r="E2337">
        <f>HYPERLINK("http://gitlab.osmosys.co/incident-reporter/incident-reporter-app", "OQSHA Mobile App")</f>
        <v/>
      </c>
      <c r="F2337">
        <f>HYPERLINK("http://gitlab.osmosys.co/incident-reporter/incident-reporter-app/-/merge_requests/1774", "feat: convert oqsha to pwa and implement user registration")</f>
        <v/>
      </c>
      <c r="G2337" t="inlineStr">
        <is>
          <t>feat/qr-scan-refactor</t>
        </is>
      </c>
      <c r="H2337" t="inlineStr">
        <is>
          <t>sprint-17</t>
        </is>
      </c>
      <c r="I2337" t="inlineStr">
        <is>
          <t>merged</t>
        </is>
      </c>
      <c r="J2337" t="inlineStr">
        <is>
          <t>ab28210aae4381c2d7fb4263670b75d93f4bc27f</t>
        </is>
      </c>
      <c r="K2337">
        <f>HYPERLINK("http://gitlab.osmosys.co/incident-reporter/incident-reporter-app/-/merge_requests/1774#note_237432", "Please read my comment carefully and then fix it.")</f>
        <v/>
      </c>
      <c r="L2337" t="inlineStr">
        <is>
          <t>2025-07-16 13:02:44.067 IST</t>
        </is>
      </c>
      <c r="M2337" t="inlineStr">
        <is>
          <t>Soundariya B</t>
        </is>
      </c>
      <c r="N2337" t="inlineStr">
        <is>
          <t>Yes</t>
        </is>
      </c>
      <c r="O2337" t="inlineStr">
        <is>
          <t>Yes</t>
        </is>
      </c>
      <c r="P2337" t="inlineStr">
        <is>
          <t>Soundariya B</t>
        </is>
      </c>
      <c r="Q2337" t="inlineStr">
        <is>
          <t>Bad</t>
        </is>
      </c>
    </row>
    <row r="2338">
      <c r="A2338" t="inlineStr">
        <is>
          <t>dhruv.p</t>
        </is>
      </c>
      <c r="B2338" t="inlineStr">
        <is>
          <t>Dhruv Pahadia</t>
        </is>
      </c>
      <c r="C2338" t="inlineStr">
        <is>
          <t>dhruv.p@osmosys.co</t>
        </is>
      </c>
      <c r="D2338" t="inlineStr">
        <is>
          <t>incident-reporter</t>
        </is>
      </c>
      <c r="E2338">
        <f>HYPERLINK("http://gitlab.osmosys.co/incident-reporter/incident-reporter-app", "OQSHA Mobile App")</f>
        <v/>
      </c>
      <c r="F2338">
        <f>HYPERLINK("http://gitlab.osmosys.co/incident-reporter/incident-reporter-app/-/merge_requests/1774", "feat: convert oqsha to pwa and implement user registration")</f>
        <v/>
      </c>
      <c r="G2338" t="inlineStr">
        <is>
          <t>feat/qr-scan-refactor</t>
        </is>
      </c>
      <c r="H2338" t="inlineStr">
        <is>
          <t>sprint-17</t>
        </is>
      </c>
      <c r="I2338" t="inlineStr">
        <is>
          <t>merged</t>
        </is>
      </c>
      <c r="J2338" t="inlineStr">
        <is>
          <t>ab28210aae4381c2d7fb4263670b75d93f4bc27f</t>
        </is>
      </c>
      <c r="K2338">
        <f>HYPERLINK("http://gitlab.osmosys.co/incident-reporter/incident-reporter-app/-/merge_requests/1774#note_237644", "margin: 0.5rem 0 its fine since we are adding margin/padding in more than 1 side, so consider this and approving")</f>
        <v/>
      </c>
      <c r="L2338" t="inlineStr">
        <is>
          <t>2025-07-16 16:17:53.504 IST</t>
        </is>
      </c>
      <c r="M2338" t="inlineStr">
        <is>
          <t>Soundariya B</t>
        </is>
      </c>
      <c r="N2338" t="inlineStr">
        <is>
          <t>Yes</t>
        </is>
      </c>
      <c r="O2338" t="inlineStr">
        <is>
          <t>Yes</t>
        </is>
      </c>
      <c r="P2338" t="inlineStr">
        <is>
          <t>Soundariya B</t>
        </is>
      </c>
      <c r="Q2338" t="inlineStr">
        <is>
          <t>Bad</t>
        </is>
      </c>
    </row>
    <row r="2339">
      <c r="A2339" t="inlineStr">
        <is>
          <t>dhruv.p</t>
        </is>
      </c>
      <c r="B2339" t="inlineStr">
        <is>
          <t>Dhruv Pahadia</t>
        </is>
      </c>
      <c r="C2339" t="inlineStr">
        <is>
          <t>dhruv.p@osmosys.co</t>
        </is>
      </c>
      <c r="D2339" t="inlineStr">
        <is>
          <t>incident-reporter</t>
        </is>
      </c>
      <c r="E2339">
        <f>HYPERLINK("http://gitlab.osmosys.co/incident-reporter/incident-reporter-app", "OQSHA Mobile App")</f>
        <v/>
      </c>
      <c r="F2339">
        <f>HYPERLINK("http://gitlab.osmosys.co/incident-reporter/incident-reporter-app/-/merge_requests/1774", "feat: convert oqsha to pwa and implement user registration")</f>
        <v/>
      </c>
      <c r="G2339" t="inlineStr">
        <is>
          <t>feat/qr-scan-refactor</t>
        </is>
      </c>
      <c r="H2339" t="inlineStr">
        <is>
          <t>sprint-17</t>
        </is>
      </c>
      <c r="I2339" t="inlineStr">
        <is>
          <t>merged</t>
        </is>
      </c>
      <c r="J2339" t="inlineStr">
        <is>
          <t>539252dcc99e01ee6e9cd84a7261d1e698a6ddbd</t>
        </is>
      </c>
      <c r="K2339">
        <f>HYPERLINK("http://gitlab.osmosys.co/incident-reporter/incident-reporter-app/-/merge_requests/1774#note_236908", "When the values are not 0, we can use shorthand notation.")</f>
        <v/>
      </c>
      <c r="L2339" t="inlineStr">
        <is>
          <t>2025-07-15 16:16:34.498 IST</t>
        </is>
      </c>
      <c r="M2339" t="inlineStr">
        <is>
          <t>Soundariya B</t>
        </is>
      </c>
      <c r="N2339" t="inlineStr">
        <is>
          <t>Yes</t>
        </is>
      </c>
      <c r="O2339" t="inlineStr">
        <is>
          <t>Yes</t>
        </is>
      </c>
      <c r="P2339" t="inlineStr">
        <is>
          <t>Soundariya B</t>
        </is>
      </c>
      <c r="Q2339" t="inlineStr">
        <is>
          <t>Bad</t>
        </is>
      </c>
    </row>
    <row r="2340">
      <c r="A2340" t="inlineStr">
        <is>
          <t>dhruv.p</t>
        </is>
      </c>
      <c r="B2340" t="inlineStr">
        <is>
          <t>Dhruv Pahadia</t>
        </is>
      </c>
      <c r="C2340" t="inlineStr">
        <is>
          <t>dhruv.p@osmosys.co</t>
        </is>
      </c>
      <c r="D2340" t="inlineStr">
        <is>
          <t>incident-reporter</t>
        </is>
      </c>
      <c r="E2340">
        <f>HYPERLINK("http://gitlab.osmosys.co/incident-reporter/incident-reporter-app", "OQSHA Mobile App")</f>
        <v/>
      </c>
      <c r="F2340">
        <f>HYPERLINK("http://gitlab.osmosys.co/incident-reporter/incident-reporter-app/-/merge_requests/1774", "feat: convert oqsha to pwa and implement user registration")</f>
        <v/>
      </c>
      <c r="G2340" t="inlineStr">
        <is>
          <t>feat/qr-scan-refactor</t>
        </is>
      </c>
      <c r="H2340" t="inlineStr">
        <is>
          <t>sprint-17</t>
        </is>
      </c>
      <c r="I2340" t="inlineStr">
        <is>
          <t>merged</t>
        </is>
      </c>
      <c r="J2340" t="inlineStr">
        <is>
          <t>539252dcc99e01ee6e9cd84a7261d1e698a6ddbd</t>
        </is>
      </c>
      <c r="K2340">
        <f>HYPERLINK("http://gitlab.osmosys.co/incident-reporter/incident-reporter-app/-/merge_requests/1774#note_237266", "These are already shorthand")</f>
        <v/>
      </c>
      <c r="L2340" t="inlineStr">
        <is>
          <t>2025-07-16 10:21:17.395 IST</t>
        </is>
      </c>
      <c r="M2340" t="inlineStr">
        <is>
          <t>Dhruv Pahadia</t>
        </is>
      </c>
      <c r="N2340" t="inlineStr">
        <is>
          <t>No</t>
        </is>
      </c>
      <c r="O2340" t="inlineStr">
        <is>
          <t>Yes</t>
        </is>
      </c>
      <c r="P2340" t="inlineStr">
        <is>
          <t>Soundariya B</t>
        </is>
      </c>
      <c r="Q2340" t="inlineStr">
        <is>
          <t>Bad</t>
        </is>
      </c>
    </row>
    <row r="2341">
      <c r="A2341" t="inlineStr">
        <is>
          <t>dhruv.p</t>
        </is>
      </c>
      <c r="B2341" t="inlineStr">
        <is>
          <t>Dhruv Pahadia</t>
        </is>
      </c>
      <c r="C2341" t="inlineStr">
        <is>
          <t>dhruv.p@osmosys.co</t>
        </is>
      </c>
      <c r="D2341" t="inlineStr">
        <is>
          <t>incident-reporter</t>
        </is>
      </c>
      <c r="E2341">
        <f>HYPERLINK("http://gitlab.osmosys.co/incident-reporter/incident-reporter-app", "OQSHA Mobile App")</f>
        <v/>
      </c>
      <c r="F2341">
        <f>HYPERLINK("http://gitlab.osmosys.co/incident-reporter/incident-reporter-app/-/merge_requests/1774", "feat: convert oqsha to pwa and implement user registration")</f>
        <v/>
      </c>
      <c r="G2341" t="inlineStr">
        <is>
          <t>feat/qr-scan-refactor</t>
        </is>
      </c>
      <c r="H2341" t="inlineStr">
        <is>
          <t>sprint-17</t>
        </is>
      </c>
      <c r="I2341" t="inlineStr">
        <is>
          <t>merged</t>
        </is>
      </c>
      <c r="J2341" t="inlineStr">
        <is>
          <t>539252dcc99e01ee6e9cd84a7261d1e698a6ddbd</t>
        </is>
      </c>
      <c r="K2341">
        <f>HYPERLINK("http://gitlab.osmosys.co/incident-reporter/incident-reporter-app/-/merge_requests/1774#note_237433", "Please read my comment carefully and then fix it.")</f>
        <v/>
      </c>
      <c r="L2341" t="inlineStr">
        <is>
          <t>2025-07-16 13:03:01.957 IST</t>
        </is>
      </c>
      <c r="M2341" t="inlineStr">
        <is>
          <t>Soundariya B</t>
        </is>
      </c>
      <c r="N2341" t="inlineStr">
        <is>
          <t>Yes</t>
        </is>
      </c>
      <c r="O2341" t="inlineStr">
        <is>
          <t>Yes</t>
        </is>
      </c>
      <c r="P2341" t="inlineStr">
        <is>
          <t>Soundariya B</t>
        </is>
      </c>
      <c r="Q2341" t="inlineStr">
        <is>
          <t>Bad</t>
        </is>
      </c>
    </row>
    <row r="2342">
      <c r="A2342" t="inlineStr">
        <is>
          <t>dhruv.p</t>
        </is>
      </c>
      <c r="B2342" t="inlineStr">
        <is>
          <t>Dhruv Pahadia</t>
        </is>
      </c>
      <c r="C2342" t="inlineStr">
        <is>
          <t>dhruv.p@osmosys.co</t>
        </is>
      </c>
      <c r="D2342" t="inlineStr">
        <is>
          <t>incident-reporter</t>
        </is>
      </c>
      <c r="E2342">
        <f>HYPERLINK("http://gitlab.osmosys.co/incident-reporter/incident-reporter-app", "OQSHA Mobile App")</f>
        <v/>
      </c>
      <c r="F2342">
        <f>HYPERLINK("http://gitlab.osmosys.co/incident-reporter/incident-reporter-app/-/merge_requests/1774", "feat: convert oqsha to pwa and implement user registration")</f>
        <v/>
      </c>
      <c r="G2342" t="inlineStr">
        <is>
          <t>feat/qr-scan-refactor</t>
        </is>
      </c>
      <c r="H2342" t="inlineStr">
        <is>
          <t>sprint-17</t>
        </is>
      </c>
      <c r="I2342" t="inlineStr">
        <is>
          <t>merged</t>
        </is>
      </c>
      <c r="J2342" t="inlineStr">
        <is>
          <t>539252dcc99e01ee6e9cd84a7261d1e698a6ddbd</t>
        </is>
      </c>
      <c r="K2342">
        <f>HYPERLINK("http://gitlab.osmosys.co/incident-reporter/incident-reporter-app/-/merge_requests/1774#note_237645", "margin: 0.5rem 0 its fine since we are adding margin/padding in more than 1 side, so consider this and approving")</f>
        <v/>
      </c>
      <c r="L2342" t="inlineStr">
        <is>
          <t>2025-07-16 16:18:03.979 IST</t>
        </is>
      </c>
      <c r="M2342" t="inlineStr">
        <is>
          <t>Soundariya B</t>
        </is>
      </c>
      <c r="N2342" t="inlineStr">
        <is>
          <t>Yes</t>
        </is>
      </c>
      <c r="O2342" t="inlineStr">
        <is>
          <t>Yes</t>
        </is>
      </c>
      <c r="P2342" t="inlineStr">
        <is>
          <t>Soundariya B</t>
        </is>
      </c>
      <c r="Q2342" t="inlineStr">
        <is>
          <t>Bad</t>
        </is>
      </c>
    </row>
    <row r="2343">
      <c r="A2343" t="inlineStr">
        <is>
          <t>dhruv.p</t>
        </is>
      </c>
      <c r="B2343" t="inlineStr">
        <is>
          <t>Dhruv Pahadia</t>
        </is>
      </c>
      <c r="C2343" t="inlineStr">
        <is>
          <t>dhruv.p@osmosys.co</t>
        </is>
      </c>
      <c r="D2343" t="inlineStr">
        <is>
          <t>incident-reporter</t>
        </is>
      </c>
      <c r="E2343">
        <f>HYPERLINK("http://gitlab.osmosys.co/incident-reporter/incident-reporter-app", "OQSHA Mobile App")</f>
        <v/>
      </c>
      <c r="F2343">
        <f>HYPERLINK("http://gitlab.osmosys.co/incident-reporter/incident-reporter-app/-/merge_requests/1774", "feat: convert oqsha to pwa and implement user registration")</f>
        <v/>
      </c>
      <c r="G2343" t="inlineStr">
        <is>
          <t>feat/qr-scan-refactor</t>
        </is>
      </c>
      <c r="H2343" t="inlineStr">
        <is>
          <t>sprint-17</t>
        </is>
      </c>
      <c r="I2343" t="inlineStr">
        <is>
          <t>merged</t>
        </is>
      </c>
      <c r="J2343" t="inlineStr">
        <is>
          <t>85ae9b17c816ac72d9cf2950f89217ffe526b829</t>
        </is>
      </c>
      <c r="K2343">
        <f>HYPERLINK("http://gitlab.osmosys.co/incident-reporter/incident-reporter-app/-/merge_requests/1774#note_236909", "Give single spaces after each curly brace")</f>
        <v/>
      </c>
      <c r="L2343" t="inlineStr">
        <is>
          <t>2025-07-15 16:16:34.553 IST</t>
        </is>
      </c>
      <c r="M2343" t="inlineStr">
        <is>
          <t>Soundariya B</t>
        </is>
      </c>
      <c r="N2343" t="inlineStr">
        <is>
          <t>Yes</t>
        </is>
      </c>
      <c r="O2343" t="inlineStr">
        <is>
          <t>Yes</t>
        </is>
      </c>
      <c r="P2343" t="inlineStr">
        <is>
          <t>Soundariya B</t>
        </is>
      </c>
      <c r="Q2343" t="inlineStr">
        <is>
          <t>Bad</t>
        </is>
      </c>
    </row>
    <row r="2344">
      <c r="A2344" t="inlineStr">
        <is>
          <t>dhruv.p</t>
        </is>
      </c>
      <c r="B2344" t="inlineStr">
        <is>
          <t>Dhruv Pahadia</t>
        </is>
      </c>
      <c r="C2344" t="inlineStr">
        <is>
          <t>dhruv.p@osmosys.co</t>
        </is>
      </c>
      <c r="D2344" t="inlineStr">
        <is>
          <t>incident-reporter</t>
        </is>
      </c>
      <c r="E2344">
        <f>HYPERLINK("http://gitlab.osmosys.co/incident-reporter/incident-reporter-app", "OQSHA Mobile App")</f>
        <v/>
      </c>
      <c r="F2344">
        <f>HYPERLINK("http://gitlab.osmosys.co/incident-reporter/incident-reporter-app/-/merge_requests/1774", "feat: convert oqsha to pwa and implement user registration")</f>
        <v/>
      </c>
      <c r="G2344" t="inlineStr">
        <is>
          <t>feat/qr-scan-refactor</t>
        </is>
      </c>
      <c r="H2344" t="inlineStr">
        <is>
          <t>sprint-17</t>
        </is>
      </c>
      <c r="I2344" t="inlineStr">
        <is>
          <t>merged</t>
        </is>
      </c>
      <c r="J2344" t="inlineStr">
        <is>
          <t>85ae9b17c816ac72d9cf2950f89217ffe526b829</t>
        </is>
      </c>
      <c r="K2344">
        <f>HYPERLINK("http://gitlab.osmosys.co/incident-reporter/incident-reporter-app/-/merge_requests/1774#note_237254", "Done")</f>
        <v/>
      </c>
      <c r="L2344" t="inlineStr">
        <is>
          <t>2025-07-16 10:09:39.901 IST</t>
        </is>
      </c>
      <c r="M2344" t="inlineStr">
        <is>
          <t>Dhruv Pahadia</t>
        </is>
      </c>
      <c r="N2344" t="inlineStr">
        <is>
          <t>No</t>
        </is>
      </c>
      <c r="O2344" t="inlineStr">
        <is>
          <t>Yes</t>
        </is>
      </c>
      <c r="P2344" t="inlineStr">
        <is>
          <t>Soundariya B</t>
        </is>
      </c>
      <c r="Q2344" t="inlineStr">
        <is>
          <t>Bad</t>
        </is>
      </c>
    </row>
    <row r="2345">
      <c r="A2345" t="inlineStr">
        <is>
          <t>dhruv.p</t>
        </is>
      </c>
      <c r="B2345" t="inlineStr">
        <is>
          <t>Dhruv Pahadia</t>
        </is>
      </c>
      <c r="C2345" t="inlineStr">
        <is>
          <t>dhruv.p@osmosys.co</t>
        </is>
      </c>
      <c r="D2345" t="inlineStr">
        <is>
          <t>incident-reporter</t>
        </is>
      </c>
      <c r="E2345">
        <f>HYPERLINK("http://gitlab.osmosys.co/incident-reporter/incident-reporter-app", "OQSHA Mobile App")</f>
        <v/>
      </c>
      <c r="F2345">
        <f>HYPERLINK("http://gitlab.osmosys.co/incident-reporter/incident-reporter-app/-/merge_requests/1774", "feat: convert oqsha to pwa and implement user registration")</f>
        <v/>
      </c>
      <c r="G2345" t="inlineStr">
        <is>
          <t>feat/qr-scan-refactor</t>
        </is>
      </c>
      <c r="H2345" t="inlineStr">
        <is>
          <t>sprint-17</t>
        </is>
      </c>
      <c r="I2345" t="inlineStr">
        <is>
          <t>merged</t>
        </is>
      </c>
      <c r="J2345" t="inlineStr">
        <is>
          <t>9e2a5fcb77193d56b3a0c80c5670353073840fe7</t>
        </is>
      </c>
      <c r="K2345">
        <f>HYPERLINK("http://gitlab.osmosys.co/incident-reporter/incident-reporter-app/-/merge_requests/1774#note_236910", "Remove this")</f>
        <v/>
      </c>
      <c r="L2345" t="inlineStr">
        <is>
          <t>2025-07-15 16:16:34.611 IST</t>
        </is>
      </c>
      <c r="M2345" t="inlineStr">
        <is>
          <t>Soundariya B</t>
        </is>
      </c>
      <c r="N2345" t="inlineStr">
        <is>
          <t>Yes</t>
        </is>
      </c>
      <c r="O2345" t="inlineStr">
        <is>
          <t>Yes</t>
        </is>
      </c>
      <c r="P2345" t="inlineStr">
        <is>
          <t>Soundariya B</t>
        </is>
      </c>
      <c r="Q2345" t="inlineStr">
        <is>
          <t>Bad</t>
        </is>
      </c>
    </row>
    <row r="2346">
      <c r="A2346" t="inlineStr">
        <is>
          <t>dhruv.p</t>
        </is>
      </c>
      <c r="B2346" t="inlineStr">
        <is>
          <t>Dhruv Pahadia</t>
        </is>
      </c>
      <c r="C2346" t="inlineStr">
        <is>
          <t>dhruv.p@osmosys.co</t>
        </is>
      </c>
      <c r="D2346" t="inlineStr">
        <is>
          <t>incident-reporter</t>
        </is>
      </c>
      <c r="E2346">
        <f>HYPERLINK("http://gitlab.osmosys.co/incident-reporter/incident-reporter-app", "OQSHA Mobile App")</f>
        <v/>
      </c>
      <c r="F2346">
        <f>HYPERLINK("http://gitlab.osmosys.co/incident-reporter/incident-reporter-app/-/merge_requests/1774", "feat: convert oqsha to pwa and implement user registration")</f>
        <v/>
      </c>
      <c r="G2346" t="inlineStr">
        <is>
          <t>feat/qr-scan-refactor</t>
        </is>
      </c>
      <c r="H2346" t="inlineStr">
        <is>
          <t>sprint-17</t>
        </is>
      </c>
      <c r="I2346" t="inlineStr">
        <is>
          <t>merged</t>
        </is>
      </c>
      <c r="J2346" t="inlineStr">
        <is>
          <t>9e2a5fcb77193d56b3a0c80c5670353073840fe7</t>
        </is>
      </c>
      <c r="K2346">
        <f>HYPERLINK("http://gitlab.osmosys.co/incident-reporter/incident-reporter-app/-/merge_requests/1774#note_237255", "Removed")</f>
        <v/>
      </c>
      <c r="L2346" t="inlineStr">
        <is>
          <t>2025-07-16 10:09:49.484 IST</t>
        </is>
      </c>
      <c r="M2346" t="inlineStr">
        <is>
          <t>Dhruv Pahadia</t>
        </is>
      </c>
      <c r="N2346" t="inlineStr">
        <is>
          <t>No</t>
        </is>
      </c>
      <c r="O2346" t="inlineStr">
        <is>
          <t>Yes</t>
        </is>
      </c>
      <c r="P2346" t="inlineStr">
        <is>
          <t>Soundariya B</t>
        </is>
      </c>
      <c r="Q2346" t="inlineStr">
        <is>
          <t>Bad</t>
        </is>
      </c>
    </row>
    <row r="2347">
      <c r="A2347" t="inlineStr">
        <is>
          <t>dhruv.p</t>
        </is>
      </c>
      <c r="B2347" t="inlineStr">
        <is>
          <t>Dhruv Pahadia</t>
        </is>
      </c>
      <c r="C2347" t="inlineStr">
        <is>
          <t>dhruv.p@osmosys.co</t>
        </is>
      </c>
      <c r="D2347" t="inlineStr">
        <is>
          <t>incident-reporter</t>
        </is>
      </c>
      <c r="E2347">
        <f>HYPERLINK("http://gitlab.osmosys.co/incident-reporter/incident-reporter-app", "OQSHA Mobile App")</f>
        <v/>
      </c>
      <c r="F2347">
        <f>HYPERLINK("http://gitlab.osmosys.co/incident-reporter/incident-reporter-app/-/merge_requests/1774", "feat: convert oqsha to pwa and implement user registration")</f>
        <v/>
      </c>
      <c r="G2347" t="inlineStr">
        <is>
          <t>feat/qr-scan-refactor</t>
        </is>
      </c>
      <c r="H2347" t="inlineStr">
        <is>
          <t>sprint-17</t>
        </is>
      </c>
      <c r="I2347" t="inlineStr">
        <is>
          <t>merged</t>
        </is>
      </c>
      <c r="J2347" t="inlineStr">
        <is>
          <t>50a4295723826511999d9df79b0e9d60b558282e</t>
        </is>
      </c>
      <c r="K2347">
        <f>HYPERLINK("http://gitlab.osmosys.co/incident-reporter/incident-reporter-app/-/merge_requests/1774#note_236911", "It should be box-shadow: 0 2px 8px 0px **rgba**(0\*\*,\*\* 0\*\*,\*\* 0\*\*,\*\* 0.1);")</f>
        <v/>
      </c>
      <c r="L2347" t="inlineStr">
        <is>
          <t>2025-07-15 16:16:34.673 IST</t>
        </is>
      </c>
      <c r="M2347" t="inlineStr">
        <is>
          <t>Soundariya B</t>
        </is>
      </c>
      <c r="N2347" t="inlineStr">
        <is>
          <t>Yes</t>
        </is>
      </c>
      <c r="O2347" t="inlineStr">
        <is>
          <t>Yes</t>
        </is>
      </c>
      <c r="P2347" t="inlineStr">
        <is>
          <t>Soundariya B</t>
        </is>
      </c>
      <c r="Q2347" t="inlineStr">
        <is>
          <t>Bad</t>
        </is>
      </c>
    </row>
    <row r="2348">
      <c r="A2348" t="inlineStr">
        <is>
          <t>dhruv.p</t>
        </is>
      </c>
      <c r="B2348" t="inlineStr">
        <is>
          <t>Dhruv Pahadia</t>
        </is>
      </c>
      <c r="C2348" t="inlineStr">
        <is>
          <t>dhruv.p@osmosys.co</t>
        </is>
      </c>
      <c r="D2348" t="inlineStr">
        <is>
          <t>incident-reporter</t>
        </is>
      </c>
      <c r="E2348">
        <f>HYPERLINK("http://gitlab.osmosys.co/incident-reporter/incident-reporter-app", "OQSHA Mobile App")</f>
        <v/>
      </c>
      <c r="F2348">
        <f>HYPERLINK("http://gitlab.osmosys.co/incident-reporter/incident-reporter-app/-/merge_requests/1774", "feat: convert oqsha to pwa and implement user registration")</f>
        <v/>
      </c>
      <c r="G2348" t="inlineStr">
        <is>
          <t>feat/qr-scan-refactor</t>
        </is>
      </c>
      <c r="H2348" t="inlineStr">
        <is>
          <t>sprint-17</t>
        </is>
      </c>
      <c r="I2348" t="inlineStr">
        <is>
          <t>merged</t>
        </is>
      </c>
      <c r="J2348" t="inlineStr">
        <is>
          <t>50a4295723826511999d9df79b0e9d60b558282e</t>
        </is>
      </c>
      <c r="K2348">
        <f>HYPERLINK("http://gitlab.osmosys.co/incident-reporter/incident-reporter-app/-/merge_requests/1774#note_237269", "Fixed")</f>
        <v/>
      </c>
      <c r="L2348" t="inlineStr">
        <is>
          <t>2025-07-16 10:23:24.511 IST</t>
        </is>
      </c>
      <c r="M2348" t="inlineStr">
        <is>
          <t>Dhruv Pahadia</t>
        </is>
      </c>
      <c r="N2348" t="inlineStr">
        <is>
          <t>No</t>
        </is>
      </c>
      <c r="O2348" t="inlineStr">
        <is>
          <t>Yes</t>
        </is>
      </c>
      <c r="P2348" t="inlineStr">
        <is>
          <t>Soundariya B</t>
        </is>
      </c>
      <c r="Q2348" t="inlineStr">
        <is>
          <t>Bad</t>
        </is>
      </c>
    </row>
    <row r="2349">
      <c r="A2349" t="inlineStr">
        <is>
          <t>dhruv.p</t>
        </is>
      </c>
      <c r="B2349" t="inlineStr">
        <is>
          <t>Dhruv Pahadia</t>
        </is>
      </c>
      <c r="C2349" t="inlineStr">
        <is>
          <t>dhruv.p@osmosys.co</t>
        </is>
      </c>
      <c r="D2349" t="inlineStr">
        <is>
          <t>incident-reporter</t>
        </is>
      </c>
      <c r="E2349">
        <f>HYPERLINK("http://gitlab.osmosys.co/incident-reporter/incident-reporter-app", "OQSHA Mobile App")</f>
        <v/>
      </c>
      <c r="F2349">
        <f>HYPERLINK("http://gitlab.osmosys.co/incident-reporter/incident-reporter-app/-/merge_requests/1774", "feat: convert oqsha to pwa and implement user registration")</f>
        <v/>
      </c>
      <c r="G2349" t="inlineStr">
        <is>
          <t>feat/qr-scan-refactor</t>
        </is>
      </c>
      <c r="H2349" t="inlineStr">
        <is>
          <t>sprint-17</t>
        </is>
      </c>
      <c r="I2349" t="inlineStr">
        <is>
          <t>merged</t>
        </is>
      </c>
      <c r="J2349" t="inlineStr">
        <is>
          <t>50a4295723826511999d9df79b0e9d60b558282e</t>
        </is>
      </c>
      <c r="K2349">
        <f>HYPERLINK("http://gitlab.osmosys.co/incident-reporter/incident-reporter-app/-/merge_requests/1774#note_237435", "we should not use px when the value is 0")</f>
        <v/>
      </c>
      <c r="L2349" t="inlineStr">
        <is>
          <t>2025-07-16 13:04:22.428 IST</t>
        </is>
      </c>
      <c r="M2349" t="inlineStr">
        <is>
          <t>Soundariya B</t>
        </is>
      </c>
      <c r="N2349" t="inlineStr">
        <is>
          <t>Yes</t>
        </is>
      </c>
      <c r="O2349" t="inlineStr">
        <is>
          <t>Yes</t>
        </is>
      </c>
      <c r="P2349" t="inlineStr">
        <is>
          <t>Soundariya B</t>
        </is>
      </c>
      <c r="Q2349" t="inlineStr">
        <is>
          <t>Bad</t>
        </is>
      </c>
    </row>
    <row r="2350">
      <c r="A2350" t="inlineStr">
        <is>
          <t>dhruv.p</t>
        </is>
      </c>
      <c r="B2350" t="inlineStr">
        <is>
          <t>Dhruv Pahadia</t>
        </is>
      </c>
      <c r="C2350" t="inlineStr">
        <is>
          <t>dhruv.p@osmosys.co</t>
        </is>
      </c>
      <c r="D2350" t="inlineStr">
        <is>
          <t>incident-reporter</t>
        </is>
      </c>
      <c r="E2350">
        <f>HYPERLINK("http://gitlab.osmosys.co/incident-reporter/incident-reporter-app", "OQSHA Mobile App")</f>
        <v/>
      </c>
      <c r="F2350">
        <f>HYPERLINK("http://gitlab.osmosys.co/incident-reporter/incident-reporter-app/-/merge_requests/1774", "feat: convert oqsha to pwa and implement user registration")</f>
        <v/>
      </c>
      <c r="G2350" t="inlineStr">
        <is>
          <t>feat/qr-scan-refactor</t>
        </is>
      </c>
      <c r="H2350" t="inlineStr">
        <is>
          <t>sprint-17</t>
        </is>
      </c>
      <c r="I2350" t="inlineStr">
        <is>
          <t>merged</t>
        </is>
      </c>
      <c r="J2350" t="inlineStr">
        <is>
          <t>50a4295723826511999d9df79b0e9d60b558282e</t>
        </is>
      </c>
      <c r="K2350">
        <f>HYPERLINK("http://gitlab.osmosys.co/incident-reporter/incident-reporter-app/-/merge_requests/1774#note_237543", "removed")</f>
        <v/>
      </c>
      <c r="L2350" t="inlineStr">
        <is>
          <t>2025-07-16 14:50:59.628 IST</t>
        </is>
      </c>
      <c r="M2350" t="inlineStr">
        <is>
          <t>Dhruv Pahadia</t>
        </is>
      </c>
      <c r="N2350" t="inlineStr">
        <is>
          <t>No</t>
        </is>
      </c>
      <c r="O2350" t="inlineStr">
        <is>
          <t>Yes</t>
        </is>
      </c>
      <c r="P2350" t="inlineStr">
        <is>
          <t>Soundariya B</t>
        </is>
      </c>
      <c r="Q2350" t="inlineStr">
        <is>
          <t>Bad</t>
        </is>
      </c>
    </row>
    <row r="2351">
      <c r="A2351" t="inlineStr">
        <is>
          <t>dhruv.p</t>
        </is>
      </c>
      <c r="B2351" t="inlineStr">
        <is>
          <t>Dhruv Pahadia</t>
        </is>
      </c>
      <c r="C2351" t="inlineStr">
        <is>
          <t>dhruv.p@osmosys.co</t>
        </is>
      </c>
      <c r="D2351" t="inlineStr">
        <is>
          <t>incident-reporter</t>
        </is>
      </c>
      <c r="E2351">
        <f>HYPERLINK("http://gitlab.osmosys.co/incident-reporter/incident-reporter-app", "OQSHA Mobile App")</f>
        <v/>
      </c>
      <c r="F2351">
        <f>HYPERLINK("http://gitlab.osmosys.co/incident-reporter/incident-reporter-app/-/merge_requests/1774", "feat: convert oqsha to pwa and implement user registration")</f>
        <v/>
      </c>
      <c r="G2351" t="inlineStr">
        <is>
          <t>feat/qr-scan-refactor</t>
        </is>
      </c>
      <c r="H2351" t="inlineStr">
        <is>
          <t>sprint-17</t>
        </is>
      </c>
      <c r="I2351" t="inlineStr">
        <is>
          <t>merged</t>
        </is>
      </c>
      <c r="J2351" t="inlineStr">
        <is>
          <t>2c0e0594703eed174ce1dee5a7499299918971d2</t>
        </is>
      </c>
      <c r="K2351">
        <f>HYPERLINK("http://gitlab.osmosys.co/incident-reporter/incident-reporter-app/-/merge_requests/1774#note_236912", "we should not use px when the value is 0.")</f>
        <v/>
      </c>
      <c r="L2351" t="inlineStr">
        <is>
          <t>2025-07-15 16:16:34.732 IST</t>
        </is>
      </c>
      <c r="M2351" t="inlineStr">
        <is>
          <t>Soundariya B</t>
        </is>
      </c>
      <c r="N2351" t="inlineStr">
        <is>
          <t>Yes</t>
        </is>
      </c>
      <c r="O2351" t="inlineStr">
        <is>
          <t>Yes</t>
        </is>
      </c>
      <c r="P2351" t="inlineStr">
        <is>
          <t>Soundariya B</t>
        </is>
      </c>
      <c r="Q2351" t="inlineStr">
        <is>
          <t>Bad</t>
        </is>
      </c>
    </row>
    <row r="2352">
      <c r="A2352" t="inlineStr">
        <is>
          <t>dhruv.p</t>
        </is>
      </c>
      <c r="B2352" t="inlineStr">
        <is>
          <t>Dhruv Pahadia</t>
        </is>
      </c>
      <c r="C2352" t="inlineStr">
        <is>
          <t>dhruv.p@osmosys.co</t>
        </is>
      </c>
      <c r="D2352" t="inlineStr">
        <is>
          <t>incident-reporter</t>
        </is>
      </c>
      <c r="E2352">
        <f>HYPERLINK("http://gitlab.osmosys.co/incident-reporter/incident-reporter-app", "OQSHA Mobile App")</f>
        <v/>
      </c>
      <c r="F2352">
        <f>HYPERLINK("http://gitlab.osmosys.co/incident-reporter/incident-reporter-app/-/merge_requests/1774", "feat: convert oqsha to pwa and implement user registration")</f>
        <v/>
      </c>
      <c r="G2352" t="inlineStr">
        <is>
          <t>feat/qr-scan-refactor</t>
        </is>
      </c>
      <c r="H2352" t="inlineStr">
        <is>
          <t>sprint-17</t>
        </is>
      </c>
      <c r="I2352" t="inlineStr">
        <is>
          <t>merged</t>
        </is>
      </c>
      <c r="J2352" t="inlineStr">
        <is>
          <t>2c0e0594703eed174ce1dee5a7499299918971d2</t>
        </is>
      </c>
      <c r="K2352">
        <f>HYPERLINK("http://gitlab.osmosys.co/incident-reporter/incident-reporter-app/-/merge_requests/1774#note_237256", "Fixed")</f>
        <v/>
      </c>
      <c r="L2352" t="inlineStr">
        <is>
          <t>2025-07-16 10:10:16.702 IST</t>
        </is>
      </c>
      <c r="M2352" t="inlineStr">
        <is>
          <t>Dhruv Pahadia</t>
        </is>
      </c>
      <c r="N2352" t="inlineStr">
        <is>
          <t>No</t>
        </is>
      </c>
      <c r="O2352" t="inlineStr">
        <is>
          <t>Yes</t>
        </is>
      </c>
      <c r="P2352" t="inlineStr">
        <is>
          <t>Soundariya B</t>
        </is>
      </c>
      <c r="Q2352" t="inlineStr">
        <is>
          <t>Bad</t>
        </is>
      </c>
    </row>
    <row r="2353">
      <c r="A2353" t="inlineStr">
        <is>
          <t>dhruv.p</t>
        </is>
      </c>
      <c r="B2353" t="inlineStr">
        <is>
          <t>Dhruv Pahadia</t>
        </is>
      </c>
      <c r="C2353" t="inlineStr">
        <is>
          <t>dhruv.p@osmosys.co</t>
        </is>
      </c>
      <c r="D2353" t="inlineStr">
        <is>
          <t>incident-reporter</t>
        </is>
      </c>
      <c r="E2353">
        <f>HYPERLINK("http://gitlab.osmosys.co/incident-reporter/incident-reporter-app", "OQSHA Mobile App")</f>
        <v/>
      </c>
      <c r="F2353">
        <f>HYPERLINK("http://gitlab.osmosys.co/incident-reporter/incident-reporter-app/-/merge_requests/1774", "feat: convert oqsha to pwa and implement user registration")</f>
        <v/>
      </c>
      <c r="G2353" t="inlineStr">
        <is>
          <t>feat/qr-scan-refactor</t>
        </is>
      </c>
      <c r="H2353" t="inlineStr">
        <is>
          <t>sprint-17</t>
        </is>
      </c>
      <c r="I2353" t="inlineStr">
        <is>
          <t>merged</t>
        </is>
      </c>
      <c r="J2353" t="inlineStr">
        <is>
          <t>9ecd3195dd4b38ec11cb4105a566f5d341ab28a5</t>
        </is>
      </c>
      <c r="K2353">
        <f>HYPERLINK("http://gitlab.osmosys.co/incident-reporter/incident-reporter-app/-/merge_requests/1774#note_236913", "When the values are not 0, we can use shorthand notation.")</f>
        <v/>
      </c>
      <c r="L2353" t="inlineStr">
        <is>
          <t>2025-07-15 16:16:34.784 IST</t>
        </is>
      </c>
      <c r="M2353" t="inlineStr">
        <is>
          <t>Soundariya B</t>
        </is>
      </c>
      <c r="N2353" t="inlineStr">
        <is>
          <t>Yes</t>
        </is>
      </c>
      <c r="O2353" t="inlineStr">
        <is>
          <t>Yes</t>
        </is>
      </c>
      <c r="P2353" t="inlineStr">
        <is>
          <t>Soundariya B</t>
        </is>
      </c>
      <c r="Q2353" t="inlineStr">
        <is>
          <t>Bad</t>
        </is>
      </c>
    </row>
    <row r="2354">
      <c r="A2354" t="inlineStr">
        <is>
          <t>dhruv.p</t>
        </is>
      </c>
      <c r="B2354" t="inlineStr">
        <is>
          <t>Dhruv Pahadia</t>
        </is>
      </c>
      <c r="C2354" t="inlineStr">
        <is>
          <t>dhruv.p@osmosys.co</t>
        </is>
      </c>
      <c r="D2354" t="inlineStr">
        <is>
          <t>incident-reporter</t>
        </is>
      </c>
      <c r="E2354">
        <f>HYPERLINK("http://gitlab.osmosys.co/incident-reporter/incident-reporter-app", "OQSHA Mobile App")</f>
        <v/>
      </c>
      <c r="F2354">
        <f>HYPERLINK("http://gitlab.osmosys.co/incident-reporter/incident-reporter-app/-/merge_requests/1774", "feat: convert oqsha to pwa and implement user registration")</f>
        <v/>
      </c>
      <c r="G2354" t="inlineStr">
        <is>
          <t>feat/qr-scan-refactor</t>
        </is>
      </c>
      <c r="H2354" t="inlineStr">
        <is>
          <t>sprint-17</t>
        </is>
      </c>
      <c r="I2354" t="inlineStr">
        <is>
          <t>merged</t>
        </is>
      </c>
      <c r="J2354" t="inlineStr">
        <is>
          <t>9ecd3195dd4b38ec11cb4105a566f5d341ab28a5</t>
        </is>
      </c>
      <c r="K2354">
        <f>HYPERLINK("http://gitlab.osmosys.co/incident-reporter/incident-reporter-app/-/merge_requests/1774#note_237267", "These are already shorthand")</f>
        <v/>
      </c>
      <c r="L2354" t="inlineStr">
        <is>
          <t>2025-07-16 10:21:27.691 IST</t>
        </is>
      </c>
      <c r="M2354" t="inlineStr">
        <is>
          <t>Dhruv Pahadia</t>
        </is>
      </c>
      <c r="N2354" t="inlineStr">
        <is>
          <t>No</t>
        </is>
      </c>
      <c r="O2354" t="inlineStr">
        <is>
          <t>Yes</t>
        </is>
      </c>
      <c r="P2354" t="inlineStr">
        <is>
          <t>Soundariya B</t>
        </is>
      </c>
      <c r="Q2354" t="inlineStr">
        <is>
          <t>Bad</t>
        </is>
      </c>
    </row>
    <row r="2355">
      <c r="A2355" t="inlineStr">
        <is>
          <t>dhruv.p</t>
        </is>
      </c>
      <c r="B2355" t="inlineStr">
        <is>
          <t>Dhruv Pahadia</t>
        </is>
      </c>
      <c r="C2355" t="inlineStr">
        <is>
          <t>dhruv.p@osmosys.co</t>
        </is>
      </c>
      <c r="D2355" t="inlineStr">
        <is>
          <t>incident-reporter</t>
        </is>
      </c>
      <c r="E2355">
        <f>HYPERLINK("http://gitlab.osmosys.co/incident-reporter/incident-reporter-app", "OQSHA Mobile App")</f>
        <v/>
      </c>
      <c r="F2355">
        <f>HYPERLINK("http://gitlab.osmosys.co/incident-reporter/incident-reporter-app/-/merge_requests/1774", "feat: convert oqsha to pwa and implement user registration")</f>
        <v/>
      </c>
      <c r="G2355" t="inlineStr">
        <is>
          <t>feat/qr-scan-refactor</t>
        </is>
      </c>
      <c r="H2355" t="inlineStr">
        <is>
          <t>sprint-17</t>
        </is>
      </c>
      <c r="I2355" t="inlineStr">
        <is>
          <t>merged</t>
        </is>
      </c>
      <c r="J2355" t="inlineStr">
        <is>
          <t>9ecd3195dd4b38ec11cb4105a566f5d341ab28a5</t>
        </is>
      </c>
      <c r="K2355">
        <f>HYPERLINK("http://gitlab.osmosys.co/incident-reporter/incident-reporter-app/-/merge_requests/1774#note_237436", "Please read my comment carefully and then fix it.")</f>
        <v/>
      </c>
      <c r="L2355" t="inlineStr">
        <is>
          <t>2025-07-16 13:06:02.437 IST</t>
        </is>
      </c>
      <c r="M2355" t="inlineStr">
        <is>
          <t>Soundariya B</t>
        </is>
      </c>
      <c r="N2355" t="inlineStr">
        <is>
          <t>Yes</t>
        </is>
      </c>
      <c r="O2355" t="inlineStr">
        <is>
          <t>Yes</t>
        </is>
      </c>
      <c r="P2355" t="inlineStr">
        <is>
          <t>Soundariya B</t>
        </is>
      </c>
      <c r="Q2355" t="inlineStr">
        <is>
          <t>Bad</t>
        </is>
      </c>
    </row>
    <row r="2356">
      <c r="A2356" t="inlineStr">
        <is>
          <t>dhruv.p</t>
        </is>
      </c>
      <c r="B2356" t="inlineStr">
        <is>
          <t>Dhruv Pahadia</t>
        </is>
      </c>
      <c r="C2356" t="inlineStr">
        <is>
          <t>dhruv.p@osmosys.co</t>
        </is>
      </c>
      <c r="D2356" t="inlineStr">
        <is>
          <t>incident-reporter</t>
        </is>
      </c>
      <c r="E2356">
        <f>HYPERLINK("http://gitlab.osmosys.co/incident-reporter/incident-reporter-app", "OQSHA Mobile App")</f>
        <v/>
      </c>
      <c r="F2356">
        <f>HYPERLINK("http://gitlab.osmosys.co/incident-reporter/incident-reporter-app/-/merge_requests/1774", "feat: convert oqsha to pwa and implement user registration")</f>
        <v/>
      </c>
      <c r="G2356" t="inlineStr">
        <is>
          <t>feat/qr-scan-refactor</t>
        </is>
      </c>
      <c r="H2356" t="inlineStr">
        <is>
          <t>sprint-17</t>
        </is>
      </c>
      <c r="I2356" t="inlineStr">
        <is>
          <t>merged</t>
        </is>
      </c>
      <c r="J2356" t="inlineStr">
        <is>
          <t>9ecd3195dd4b38ec11cb4105a566f5d341ab28a5</t>
        </is>
      </c>
      <c r="K2356">
        <f>HYPERLINK("http://gitlab.osmosys.co/incident-reporter/incident-reporter-app/-/merge_requests/1774#note_237639", "margin: 0.5rem 0 its fine since we are adding margin/padding in more than 1 side, so consider this and approving")</f>
        <v/>
      </c>
      <c r="L2356" t="inlineStr">
        <is>
          <t>2025-07-16 16:09:27.724 IST</t>
        </is>
      </c>
      <c r="M2356" t="inlineStr">
        <is>
          <t>Soundariya B</t>
        </is>
      </c>
      <c r="N2356" t="inlineStr">
        <is>
          <t>Yes</t>
        </is>
      </c>
      <c r="O2356" t="inlineStr">
        <is>
          <t>Yes</t>
        </is>
      </c>
      <c r="P2356" t="inlineStr">
        <is>
          <t>Soundariya B</t>
        </is>
      </c>
      <c r="Q2356" t="inlineStr">
        <is>
          <t>Bad</t>
        </is>
      </c>
    </row>
    <row r="2357">
      <c r="A2357" t="inlineStr">
        <is>
          <t>dhruv.p</t>
        </is>
      </c>
      <c r="B2357" t="inlineStr">
        <is>
          <t>Dhruv Pahadia</t>
        </is>
      </c>
      <c r="C2357" t="inlineStr">
        <is>
          <t>dhruv.p@osmosys.co</t>
        </is>
      </c>
      <c r="D2357" t="inlineStr">
        <is>
          <t>incident-reporter</t>
        </is>
      </c>
      <c r="E2357">
        <f>HYPERLINK("http://gitlab.osmosys.co/incident-reporter/incident-reporter-app", "OQSHA Mobile App")</f>
        <v/>
      </c>
      <c r="F2357">
        <f>HYPERLINK("http://gitlab.osmosys.co/incident-reporter/incident-reporter-app/-/merge_requests/1774", "feat: convert oqsha to pwa and implement user registration")</f>
        <v/>
      </c>
      <c r="G2357" t="inlineStr">
        <is>
          <t>feat/qr-scan-refactor</t>
        </is>
      </c>
      <c r="H2357" t="inlineStr">
        <is>
          <t>sprint-17</t>
        </is>
      </c>
      <c r="I2357" t="inlineStr">
        <is>
          <t>merged</t>
        </is>
      </c>
      <c r="J2357" t="inlineStr">
        <is>
          <t>04a65e30c3facc50e3bfc9aa6f19db10f974bd9b</t>
        </is>
      </c>
      <c r="K2357">
        <f>HYPERLINK("http://gitlab.osmosys.co/incident-reporter/incident-reporter-app/-/merge_requests/1774#note_236914", "These CSS are seems common please fix it")</f>
        <v/>
      </c>
      <c r="L2357" t="inlineStr">
        <is>
          <t>2025-07-15 16:16:34.838 IST</t>
        </is>
      </c>
      <c r="M2357" t="inlineStr">
        <is>
          <t>Soundariya B</t>
        </is>
      </c>
      <c r="N2357" t="inlineStr">
        <is>
          <t>Yes</t>
        </is>
      </c>
      <c r="O2357" t="inlineStr">
        <is>
          <t>Yes</t>
        </is>
      </c>
      <c r="P2357" t="inlineStr">
        <is>
          <t>Soundariya B</t>
        </is>
      </c>
      <c r="Q2357" t="inlineStr">
        <is>
          <t>Bad</t>
        </is>
      </c>
    </row>
    <row r="2358">
      <c r="A2358" t="inlineStr">
        <is>
          <t>dhruv.p</t>
        </is>
      </c>
      <c r="B2358" t="inlineStr">
        <is>
          <t>Dhruv Pahadia</t>
        </is>
      </c>
      <c r="C2358" t="inlineStr">
        <is>
          <t>dhruv.p@osmosys.co</t>
        </is>
      </c>
      <c r="D2358" t="inlineStr">
        <is>
          <t>incident-reporter</t>
        </is>
      </c>
      <c r="E2358">
        <f>HYPERLINK("http://gitlab.osmosys.co/incident-reporter/incident-reporter-app", "OQSHA Mobile App")</f>
        <v/>
      </c>
      <c r="F2358">
        <f>HYPERLINK("http://gitlab.osmosys.co/incident-reporter/incident-reporter-app/-/merge_requests/1774", "feat: convert oqsha to pwa and implement user registration")</f>
        <v/>
      </c>
      <c r="G2358" t="inlineStr">
        <is>
          <t>feat/qr-scan-refactor</t>
        </is>
      </c>
      <c r="H2358" t="inlineStr">
        <is>
          <t>sprint-17</t>
        </is>
      </c>
      <c r="I2358" t="inlineStr">
        <is>
          <t>merged</t>
        </is>
      </c>
      <c r="J2358" t="inlineStr">
        <is>
          <t>04a65e30c3facc50e3bfc9aa6f19db10f974bd9b</t>
        </is>
      </c>
      <c r="K2358">
        <f>HYPERLINK("http://gitlab.osmosys.co/incident-reporter/incident-reporter-app/-/merge_requests/1774#note_237257", "Fixed")</f>
        <v/>
      </c>
      <c r="L2358" t="inlineStr">
        <is>
          <t>2025-07-16 10:11:22.984 IST</t>
        </is>
      </c>
      <c r="M2358" t="inlineStr">
        <is>
          <t>Dhruv Pahadia</t>
        </is>
      </c>
      <c r="N2358" t="inlineStr">
        <is>
          <t>No</t>
        </is>
      </c>
      <c r="O2358" t="inlineStr">
        <is>
          <t>Yes</t>
        </is>
      </c>
      <c r="P2358" t="inlineStr">
        <is>
          <t>Soundariya B</t>
        </is>
      </c>
      <c r="Q2358" t="inlineStr">
        <is>
          <t>Bad</t>
        </is>
      </c>
    </row>
    <row r="2359">
      <c r="A2359" t="inlineStr">
        <is>
          <t>dhruv.p</t>
        </is>
      </c>
      <c r="B2359" t="inlineStr">
        <is>
          <t>Dhruv Pahadia</t>
        </is>
      </c>
      <c r="C2359" t="inlineStr">
        <is>
          <t>dhruv.p@osmosys.co</t>
        </is>
      </c>
      <c r="D2359" t="inlineStr">
        <is>
          <t>incident-reporter</t>
        </is>
      </c>
      <c r="E2359">
        <f>HYPERLINK("http://gitlab.osmosys.co/incident-reporter/incident-reporter-app", "OQSHA Mobile App")</f>
        <v/>
      </c>
      <c r="F2359">
        <f>HYPERLINK("http://gitlab.osmosys.co/incident-reporter/incident-reporter-app/-/merge_requests/1774", "feat: convert oqsha to pwa and implement user registration")</f>
        <v/>
      </c>
      <c r="G2359" t="inlineStr">
        <is>
          <t>feat/qr-scan-refactor</t>
        </is>
      </c>
      <c r="H2359" t="inlineStr">
        <is>
          <t>sprint-17</t>
        </is>
      </c>
      <c r="I2359" t="inlineStr">
        <is>
          <t>merged</t>
        </is>
      </c>
      <c r="J2359" t="inlineStr">
        <is>
          <t>59be85468740460d71005b437ba27d1eada7ded6</t>
        </is>
      </c>
      <c r="K2359">
        <f>HYPERLINK("http://gitlab.osmosys.co/incident-reporter/incident-reporter-app/-/merge_requests/1774#note_236915", "Use hexa value")</f>
        <v/>
      </c>
      <c r="L2359" t="inlineStr">
        <is>
          <t>2025-07-15 16:16:34.899 IST</t>
        </is>
      </c>
      <c r="M2359" t="inlineStr">
        <is>
          <t>Soundariya B</t>
        </is>
      </c>
      <c r="N2359" t="inlineStr">
        <is>
          <t>Yes</t>
        </is>
      </c>
      <c r="O2359" t="inlineStr">
        <is>
          <t>Yes</t>
        </is>
      </c>
      <c r="P2359" t="inlineStr">
        <is>
          <t>Soundariya B</t>
        </is>
      </c>
      <c r="Q2359" t="inlineStr">
        <is>
          <t>Bad</t>
        </is>
      </c>
    </row>
    <row r="2360">
      <c r="A2360" t="inlineStr">
        <is>
          <t>dhruv.p</t>
        </is>
      </c>
      <c r="B2360" t="inlineStr">
        <is>
          <t>Dhruv Pahadia</t>
        </is>
      </c>
      <c r="C2360" t="inlineStr">
        <is>
          <t>dhruv.p@osmosys.co</t>
        </is>
      </c>
      <c r="D2360" t="inlineStr">
        <is>
          <t>incident-reporter</t>
        </is>
      </c>
      <c r="E2360">
        <f>HYPERLINK("http://gitlab.osmosys.co/incident-reporter/incident-reporter-app", "OQSHA Mobile App")</f>
        <v/>
      </c>
      <c r="F2360">
        <f>HYPERLINK("http://gitlab.osmosys.co/incident-reporter/incident-reporter-app/-/merge_requests/1774", "feat: convert oqsha to pwa and implement user registration")</f>
        <v/>
      </c>
      <c r="G2360" t="inlineStr">
        <is>
          <t>feat/qr-scan-refactor</t>
        </is>
      </c>
      <c r="H2360" t="inlineStr">
        <is>
          <t>sprint-17</t>
        </is>
      </c>
      <c r="I2360" t="inlineStr">
        <is>
          <t>merged</t>
        </is>
      </c>
      <c r="J2360" t="inlineStr">
        <is>
          <t>59be85468740460d71005b437ba27d1eada7ded6</t>
        </is>
      </c>
      <c r="K2360">
        <f>HYPERLINK("http://gitlab.osmosys.co/incident-reporter/incident-reporter-app/-/merge_requests/1774#note_237258", "fixed")</f>
        <v/>
      </c>
      <c r="L2360" t="inlineStr">
        <is>
          <t>2025-07-16 10:12:27.584 IST</t>
        </is>
      </c>
      <c r="M2360" t="inlineStr">
        <is>
          <t>Dhruv Pahadia</t>
        </is>
      </c>
      <c r="N2360" t="inlineStr">
        <is>
          <t>No</t>
        </is>
      </c>
      <c r="O2360" t="inlineStr">
        <is>
          <t>Yes</t>
        </is>
      </c>
      <c r="P2360" t="inlineStr">
        <is>
          <t>Soundariya B</t>
        </is>
      </c>
      <c r="Q2360" t="inlineStr">
        <is>
          <t>Bad</t>
        </is>
      </c>
    </row>
    <row r="2361">
      <c r="A2361" t="inlineStr">
        <is>
          <t>dhruv.p</t>
        </is>
      </c>
      <c r="B2361" t="inlineStr">
        <is>
          <t>Dhruv Pahadia</t>
        </is>
      </c>
      <c r="C2361" t="inlineStr">
        <is>
          <t>dhruv.p@osmosys.co</t>
        </is>
      </c>
      <c r="D2361" t="inlineStr">
        <is>
          <t>incident-reporter</t>
        </is>
      </c>
      <c r="E2361">
        <f>HYPERLINK("http://gitlab.osmosys.co/incident-reporter/incident-reporter-app", "OQSHA Mobile App")</f>
        <v/>
      </c>
      <c r="F2361">
        <f>HYPERLINK("http://gitlab.osmosys.co/incident-reporter/incident-reporter-app/-/merge_requests/1774", "feat: convert oqsha to pwa and implement user registration")</f>
        <v/>
      </c>
      <c r="G2361" t="inlineStr">
        <is>
          <t>feat/qr-scan-refactor</t>
        </is>
      </c>
      <c r="H2361" t="inlineStr">
        <is>
          <t>sprint-17</t>
        </is>
      </c>
      <c r="I2361" t="inlineStr">
        <is>
          <t>merged</t>
        </is>
      </c>
      <c r="J2361" t="inlineStr">
        <is>
          <t>1e797d728dd08907a3df82b48bf7c782a2b37409</t>
        </is>
      </c>
      <c r="K2361">
        <f>HYPERLINK("http://gitlab.osmosys.co/incident-reporter/incident-reporter-app/-/merge_requests/1774#note_236916", "Use hexa value and remove !important from everywhere which are really not required")</f>
        <v/>
      </c>
      <c r="L2361" t="inlineStr">
        <is>
          <t>2025-07-15 16:16:34.955 IST</t>
        </is>
      </c>
      <c r="M2361" t="inlineStr">
        <is>
          <t>Soundariya B</t>
        </is>
      </c>
      <c r="N2361" t="inlineStr">
        <is>
          <t>Yes</t>
        </is>
      </c>
      <c r="O2361" t="inlineStr">
        <is>
          <t>Yes</t>
        </is>
      </c>
      <c r="P2361" t="inlineStr">
        <is>
          <t>Soundariya B</t>
        </is>
      </c>
      <c r="Q2361" t="inlineStr">
        <is>
          <t>Bad</t>
        </is>
      </c>
    </row>
    <row r="2362">
      <c r="A2362" t="inlineStr">
        <is>
          <t>dhruv.p</t>
        </is>
      </c>
      <c r="B2362" t="inlineStr">
        <is>
          <t>Dhruv Pahadia</t>
        </is>
      </c>
      <c r="C2362" t="inlineStr">
        <is>
          <t>dhruv.p@osmosys.co</t>
        </is>
      </c>
      <c r="D2362" t="inlineStr">
        <is>
          <t>incident-reporter</t>
        </is>
      </c>
      <c r="E2362">
        <f>HYPERLINK("http://gitlab.osmosys.co/incident-reporter/incident-reporter-app", "OQSHA Mobile App")</f>
        <v/>
      </c>
      <c r="F2362">
        <f>HYPERLINK("http://gitlab.osmosys.co/incident-reporter/incident-reporter-app/-/merge_requests/1774", "feat: convert oqsha to pwa and implement user registration")</f>
        <v/>
      </c>
      <c r="G2362" t="inlineStr">
        <is>
          <t>feat/qr-scan-refactor</t>
        </is>
      </c>
      <c r="H2362" t="inlineStr">
        <is>
          <t>sprint-17</t>
        </is>
      </c>
      <c r="I2362" t="inlineStr">
        <is>
          <t>merged</t>
        </is>
      </c>
      <c r="J2362" t="inlineStr">
        <is>
          <t>1e797d728dd08907a3df82b48bf7c782a2b37409</t>
        </is>
      </c>
      <c r="K2362">
        <f>HYPERLINK("http://gitlab.osmosys.co/incident-reporter/incident-reporter-app/-/merge_requests/1774#note_237259", "Fixed")</f>
        <v/>
      </c>
      <c r="L2362" t="inlineStr">
        <is>
          <t>2025-07-16 10:13:05.440 IST</t>
        </is>
      </c>
      <c r="M2362" t="inlineStr">
        <is>
          <t>Dhruv Pahadia</t>
        </is>
      </c>
      <c r="N2362" t="inlineStr">
        <is>
          <t>No</t>
        </is>
      </c>
      <c r="O2362" t="inlineStr">
        <is>
          <t>Yes</t>
        </is>
      </c>
      <c r="P2362" t="inlineStr">
        <is>
          <t>Soundariya B</t>
        </is>
      </c>
      <c r="Q2362" t="inlineStr">
        <is>
          <t>Bad</t>
        </is>
      </c>
    </row>
    <row r="2363">
      <c r="A2363" t="inlineStr">
        <is>
          <t>dhruv.p</t>
        </is>
      </c>
      <c r="B2363" t="inlineStr">
        <is>
          <t>Dhruv Pahadia</t>
        </is>
      </c>
      <c r="C2363" t="inlineStr">
        <is>
          <t>dhruv.p@osmosys.co</t>
        </is>
      </c>
      <c r="D2363" t="inlineStr">
        <is>
          <t>incident-reporter</t>
        </is>
      </c>
      <c r="E2363">
        <f>HYPERLINK("http://gitlab.osmosys.co/incident-reporter/incident-reporter-app", "OQSHA Mobile App")</f>
        <v/>
      </c>
      <c r="F2363">
        <f>HYPERLINK("http://gitlab.osmosys.co/incident-reporter/incident-reporter-app/-/merge_requests/1774", "feat: convert oqsha to pwa and implement user registration")</f>
        <v/>
      </c>
      <c r="G2363" t="inlineStr">
        <is>
          <t>feat/qr-scan-refactor</t>
        </is>
      </c>
      <c r="H2363" t="inlineStr">
        <is>
          <t>sprint-17</t>
        </is>
      </c>
      <c r="I2363" t="inlineStr">
        <is>
          <t>merged</t>
        </is>
      </c>
      <c r="J2363" t="inlineStr">
        <is>
          <t>891c66bd60e485ccd918e05d9b89f966381073e9</t>
        </is>
      </c>
      <c r="K2363">
        <f>HYPERLINK("http://gitlab.osmosys.co/incident-reporter/incident-reporter-app/-/merge_requests/1774#note_236917", "Same here")</f>
        <v/>
      </c>
      <c r="L2363" t="inlineStr">
        <is>
          <t>2025-07-15 16:16:35.008 IST</t>
        </is>
      </c>
      <c r="M2363" t="inlineStr">
        <is>
          <t>Soundariya B</t>
        </is>
      </c>
      <c r="N2363" t="inlineStr">
        <is>
          <t>Yes</t>
        </is>
      </c>
      <c r="O2363" t="inlineStr">
        <is>
          <t>Yes</t>
        </is>
      </c>
      <c r="P2363" t="inlineStr">
        <is>
          <t>Soundariya B</t>
        </is>
      </c>
      <c r="Q2363" t="inlineStr">
        <is>
          <t>Bad</t>
        </is>
      </c>
    </row>
    <row r="2364">
      <c r="A2364" t="inlineStr">
        <is>
          <t>dhruv.p</t>
        </is>
      </c>
      <c r="B2364" t="inlineStr">
        <is>
          <t>Dhruv Pahadia</t>
        </is>
      </c>
      <c r="C2364" t="inlineStr">
        <is>
          <t>dhruv.p@osmosys.co</t>
        </is>
      </c>
      <c r="D2364" t="inlineStr">
        <is>
          <t>incident-reporter</t>
        </is>
      </c>
      <c r="E2364">
        <f>HYPERLINK("http://gitlab.osmosys.co/incident-reporter/incident-reporter-app", "OQSHA Mobile App")</f>
        <v/>
      </c>
      <c r="F2364">
        <f>HYPERLINK("http://gitlab.osmosys.co/incident-reporter/incident-reporter-app/-/merge_requests/1774", "feat: convert oqsha to pwa and implement user registration")</f>
        <v/>
      </c>
      <c r="G2364" t="inlineStr">
        <is>
          <t>feat/qr-scan-refactor</t>
        </is>
      </c>
      <c r="H2364" t="inlineStr">
        <is>
          <t>sprint-17</t>
        </is>
      </c>
      <c r="I2364" t="inlineStr">
        <is>
          <t>merged</t>
        </is>
      </c>
      <c r="J2364" t="inlineStr">
        <is>
          <t>891c66bd60e485ccd918e05d9b89f966381073e9</t>
        </is>
      </c>
      <c r="K2364">
        <f>HYPERLINK("http://gitlab.osmosys.co/incident-reporter/incident-reporter-app/-/merge_requests/1774#note_237260", "fixed")</f>
        <v/>
      </c>
      <c r="L2364" t="inlineStr">
        <is>
          <t>2025-07-16 10:14:11.113 IST</t>
        </is>
      </c>
      <c r="M2364" t="inlineStr">
        <is>
          <t>Dhruv Pahadia</t>
        </is>
      </c>
      <c r="N2364" t="inlineStr">
        <is>
          <t>No</t>
        </is>
      </c>
      <c r="O2364" t="inlineStr">
        <is>
          <t>Yes</t>
        </is>
      </c>
      <c r="P2364" t="inlineStr">
        <is>
          <t>Soundariya B</t>
        </is>
      </c>
      <c r="Q2364" t="inlineStr">
        <is>
          <t>Bad</t>
        </is>
      </c>
    </row>
    <row r="2365">
      <c r="A2365" t="inlineStr">
        <is>
          <t>dhruv.p</t>
        </is>
      </c>
      <c r="B2365" t="inlineStr">
        <is>
          <t>Dhruv Pahadia</t>
        </is>
      </c>
      <c r="C2365" t="inlineStr">
        <is>
          <t>dhruv.p@osmosys.co</t>
        </is>
      </c>
      <c r="D2365" t="inlineStr">
        <is>
          <t>incident-reporter</t>
        </is>
      </c>
      <c r="E2365">
        <f>HYPERLINK("http://gitlab.osmosys.co/incident-reporter/incident-reporter-app", "OQSHA Mobile App")</f>
        <v/>
      </c>
      <c r="F2365">
        <f>HYPERLINK("http://gitlab.osmosys.co/incident-reporter/incident-reporter-app/-/merge_requests/1774", "feat: convert oqsha to pwa and implement user registration")</f>
        <v/>
      </c>
      <c r="G2365" t="inlineStr">
        <is>
          <t>feat/qr-scan-refactor</t>
        </is>
      </c>
      <c r="H2365" t="inlineStr">
        <is>
          <t>sprint-17</t>
        </is>
      </c>
      <c r="I2365" t="inlineStr">
        <is>
          <t>merged</t>
        </is>
      </c>
      <c r="J2365" t="inlineStr">
        <is>
          <t>8931901c7e425615b4d77cc42300cf3e642291ff</t>
        </is>
      </c>
      <c r="K2365">
        <f>HYPERLINK("http://gitlab.osmosys.co/incident-reporter/incident-reporter-app/-/merge_requests/1774#note_236918", "Same here and take anyone for background color")</f>
        <v/>
      </c>
      <c r="L2365" t="inlineStr">
        <is>
          <t>2025-07-15 16:16:35.064 IST</t>
        </is>
      </c>
      <c r="M2365" t="inlineStr">
        <is>
          <t>Soundariya B</t>
        </is>
      </c>
      <c r="N2365" t="inlineStr">
        <is>
          <t>Yes</t>
        </is>
      </c>
      <c r="O2365" t="inlineStr">
        <is>
          <t>Yes</t>
        </is>
      </c>
      <c r="P2365" t="inlineStr">
        <is>
          <t>Soundariya B</t>
        </is>
      </c>
      <c r="Q2365" t="inlineStr">
        <is>
          <t>Bad</t>
        </is>
      </c>
    </row>
    <row r="2366">
      <c r="A2366" t="inlineStr">
        <is>
          <t>dhruv.p</t>
        </is>
      </c>
      <c r="B2366" t="inlineStr">
        <is>
          <t>Dhruv Pahadia</t>
        </is>
      </c>
      <c r="C2366" t="inlineStr">
        <is>
          <t>dhruv.p@osmosys.co</t>
        </is>
      </c>
      <c r="D2366" t="inlineStr">
        <is>
          <t>incident-reporter</t>
        </is>
      </c>
      <c r="E2366">
        <f>HYPERLINK("http://gitlab.osmosys.co/incident-reporter/incident-reporter-app", "OQSHA Mobile App")</f>
        <v/>
      </c>
      <c r="F2366">
        <f>HYPERLINK("http://gitlab.osmosys.co/incident-reporter/incident-reporter-app/-/merge_requests/1774", "feat: convert oqsha to pwa and implement user registration")</f>
        <v/>
      </c>
      <c r="G2366" t="inlineStr">
        <is>
          <t>feat/qr-scan-refactor</t>
        </is>
      </c>
      <c r="H2366" t="inlineStr">
        <is>
          <t>sprint-17</t>
        </is>
      </c>
      <c r="I2366" t="inlineStr">
        <is>
          <t>merged</t>
        </is>
      </c>
      <c r="J2366" t="inlineStr">
        <is>
          <t>8931901c7e425615b4d77cc42300cf3e642291ff</t>
        </is>
      </c>
      <c r="K2366">
        <f>HYPERLINK("http://gitlab.osmosys.co/incident-reporter/incident-reporter-app/-/merge_requests/1774#note_237261", "fixed")</f>
        <v/>
      </c>
      <c r="L2366" t="inlineStr">
        <is>
          <t>2025-07-16 10:16:28.170 IST</t>
        </is>
      </c>
      <c r="M2366" t="inlineStr">
        <is>
          <t>Dhruv Pahadia</t>
        </is>
      </c>
      <c r="N2366" t="inlineStr">
        <is>
          <t>No</t>
        </is>
      </c>
      <c r="O2366" t="inlineStr">
        <is>
          <t>Yes</t>
        </is>
      </c>
      <c r="P2366" t="inlineStr">
        <is>
          <t>Soundariya B</t>
        </is>
      </c>
      <c r="Q2366" t="inlineStr">
        <is>
          <t>Bad</t>
        </is>
      </c>
    </row>
    <row r="2367">
      <c r="A2367" t="inlineStr">
        <is>
          <t>dhruv.p</t>
        </is>
      </c>
      <c r="B2367" t="inlineStr">
        <is>
          <t>Dhruv Pahadia</t>
        </is>
      </c>
      <c r="C2367" t="inlineStr">
        <is>
          <t>dhruv.p@osmosys.co</t>
        </is>
      </c>
      <c r="D2367" t="inlineStr">
        <is>
          <t>incident-reporter</t>
        </is>
      </c>
      <c r="E2367">
        <f>HYPERLINK("http://gitlab.osmosys.co/incident-reporter/incident-reporter-app", "OQSHA Mobile App")</f>
        <v/>
      </c>
      <c r="F2367">
        <f>HYPERLINK("http://gitlab.osmosys.co/incident-reporter/incident-reporter-app/-/merge_requests/1774", "feat: convert oqsha to pwa and implement user registration")</f>
        <v/>
      </c>
      <c r="G2367" t="inlineStr">
        <is>
          <t>feat/qr-scan-refactor</t>
        </is>
      </c>
      <c r="H2367" t="inlineStr">
        <is>
          <t>sprint-17</t>
        </is>
      </c>
      <c r="I2367" t="inlineStr">
        <is>
          <t>merged</t>
        </is>
      </c>
      <c r="J2367" t="inlineStr">
        <is>
          <t>9f02d8fff5832f8cd6ebf387704a8a28399ca4d5</t>
        </is>
      </c>
      <c r="K2367">
        <f>HYPERLINK("http://gitlab.osmosys.co/incident-reporter/incident-reporter-app/-/merge_requests/1774#note_236919", "Same here")</f>
        <v/>
      </c>
      <c r="L2367" t="inlineStr">
        <is>
          <t>2025-07-15 16:16:35.116 IST</t>
        </is>
      </c>
      <c r="M2367" t="inlineStr">
        <is>
          <t>Soundariya B</t>
        </is>
      </c>
      <c r="N2367" t="inlineStr">
        <is>
          <t>Yes</t>
        </is>
      </c>
      <c r="O2367" t="inlineStr">
        <is>
          <t>Yes</t>
        </is>
      </c>
      <c r="P2367" t="inlineStr">
        <is>
          <t>Soundariya B</t>
        </is>
      </c>
      <c r="Q2367" t="inlineStr">
        <is>
          <t>Bad</t>
        </is>
      </c>
    </row>
    <row r="2368">
      <c r="A2368" t="inlineStr">
        <is>
          <t>dhruv.p</t>
        </is>
      </c>
      <c r="B2368" t="inlineStr">
        <is>
          <t>Dhruv Pahadia</t>
        </is>
      </c>
      <c r="C2368" t="inlineStr">
        <is>
          <t>dhruv.p@osmosys.co</t>
        </is>
      </c>
      <c r="D2368" t="inlineStr">
        <is>
          <t>incident-reporter</t>
        </is>
      </c>
      <c r="E2368">
        <f>HYPERLINK("http://gitlab.osmosys.co/incident-reporter/incident-reporter-app", "OQSHA Mobile App")</f>
        <v/>
      </c>
      <c r="F2368">
        <f>HYPERLINK("http://gitlab.osmosys.co/incident-reporter/incident-reporter-app/-/merge_requests/1774", "feat: convert oqsha to pwa and implement user registration")</f>
        <v/>
      </c>
      <c r="G2368" t="inlineStr">
        <is>
          <t>feat/qr-scan-refactor</t>
        </is>
      </c>
      <c r="H2368" t="inlineStr">
        <is>
          <t>sprint-17</t>
        </is>
      </c>
      <c r="I2368" t="inlineStr">
        <is>
          <t>merged</t>
        </is>
      </c>
      <c r="J2368" t="inlineStr">
        <is>
          <t>9f02d8fff5832f8cd6ebf387704a8a28399ca4d5</t>
        </is>
      </c>
      <c r="K2368">
        <f>HYPERLINK("http://gitlab.osmosys.co/incident-reporter/incident-reporter-app/-/merge_requests/1774#note_237262", "fixed")</f>
        <v/>
      </c>
      <c r="L2368" t="inlineStr">
        <is>
          <t>2025-07-16 10:16:55.364 IST</t>
        </is>
      </c>
      <c r="M2368" t="inlineStr">
        <is>
          <t>Dhruv Pahadia</t>
        </is>
      </c>
      <c r="N2368" t="inlineStr">
        <is>
          <t>No</t>
        </is>
      </c>
      <c r="O2368" t="inlineStr">
        <is>
          <t>Yes</t>
        </is>
      </c>
      <c r="P2368" t="inlineStr">
        <is>
          <t>Soundariya B</t>
        </is>
      </c>
      <c r="Q2368" t="inlineStr">
        <is>
          <t>Bad</t>
        </is>
      </c>
    </row>
    <row r="2369">
      <c r="A2369" t="inlineStr">
        <is>
          <t>dhruv.p</t>
        </is>
      </c>
      <c r="B2369" t="inlineStr">
        <is>
          <t>Dhruv Pahadia</t>
        </is>
      </c>
      <c r="C2369" t="inlineStr">
        <is>
          <t>dhruv.p@osmosys.co</t>
        </is>
      </c>
      <c r="D2369" t="inlineStr">
        <is>
          <t>incident-reporter</t>
        </is>
      </c>
      <c r="E2369">
        <f>HYPERLINK("http://gitlab.osmosys.co/incident-reporter/incident-reporter-app", "OQSHA Mobile App")</f>
        <v/>
      </c>
      <c r="F2369">
        <f>HYPERLINK("http://gitlab.osmosys.co/incident-reporter/incident-reporter-app/-/merge_requests/1774", "feat: convert oqsha to pwa and implement user registration")</f>
        <v/>
      </c>
      <c r="G2369" t="inlineStr">
        <is>
          <t>feat/qr-scan-refactor</t>
        </is>
      </c>
      <c r="H2369" t="inlineStr">
        <is>
          <t>sprint-17</t>
        </is>
      </c>
      <c r="I2369" t="inlineStr">
        <is>
          <t>merged</t>
        </is>
      </c>
      <c r="J2369" t="inlineStr">
        <is>
          <t>3aba8cf95a2632c445a95432d37ff4b6b01c9f21</t>
        </is>
      </c>
      <c r="K2369">
        <f>HYPERLINK("http://gitlab.osmosys.co/incident-reporter/incident-reporter-app/-/merge_requests/1774#note_236920", "Remove !important why this much important is required here?")</f>
        <v/>
      </c>
      <c r="L2369" t="inlineStr">
        <is>
          <t>2025-07-15 16:16:35.173 IST</t>
        </is>
      </c>
      <c r="M2369" t="inlineStr">
        <is>
          <t>Soundariya B</t>
        </is>
      </c>
      <c r="N2369" t="inlineStr">
        <is>
          <t>Yes</t>
        </is>
      </c>
      <c r="O2369" t="inlineStr">
        <is>
          <t>Yes</t>
        </is>
      </c>
      <c r="P2369" t="inlineStr">
        <is>
          <t>Soundariya B</t>
        </is>
      </c>
      <c r="Q2369" t="inlineStr">
        <is>
          <t>Bad</t>
        </is>
      </c>
    </row>
    <row r="2370">
      <c r="A2370" t="inlineStr">
        <is>
          <t>dhruv.p</t>
        </is>
      </c>
      <c r="B2370" t="inlineStr">
        <is>
          <t>Dhruv Pahadia</t>
        </is>
      </c>
      <c r="C2370" t="inlineStr">
        <is>
          <t>dhruv.p@osmosys.co</t>
        </is>
      </c>
      <c r="D2370" t="inlineStr">
        <is>
          <t>incident-reporter</t>
        </is>
      </c>
      <c r="E2370">
        <f>HYPERLINK("http://gitlab.osmosys.co/incident-reporter/incident-reporter-app", "OQSHA Mobile App")</f>
        <v/>
      </c>
      <c r="F2370">
        <f>HYPERLINK("http://gitlab.osmosys.co/incident-reporter/incident-reporter-app/-/merge_requests/1774", "feat: convert oqsha to pwa and implement user registration")</f>
        <v/>
      </c>
      <c r="G2370" t="inlineStr">
        <is>
          <t>feat/qr-scan-refactor</t>
        </is>
      </c>
      <c r="H2370" t="inlineStr">
        <is>
          <t>sprint-17</t>
        </is>
      </c>
      <c r="I2370" t="inlineStr">
        <is>
          <t>merged</t>
        </is>
      </c>
      <c r="J2370" t="inlineStr">
        <is>
          <t>3aba8cf95a2632c445a95432d37ff4b6b01c9f21</t>
        </is>
      </c>
      <c r="K2370">
        <f>HYPERLINK("http://gitlab.osmosys.co/incident-reporter/incident-reporter-app/-/merge_requests/1774#note_237263", "Removed")</f>
        <v/>
      </c>
      <c r="L2370" t="inlineStr">
        <is>
          <t>2025-07-16 10:17:19.263 IST</t>
        </is>
      </c>
      <c r="M2370" t="inlineStr">
        <is>
          <t>Dhruv Pahadia</t>
        </is>
      </c>
      <c r="N2370" t="inlineStr">
        <is>
          <t>No</t>
        </is>
      </c>
      <c r="O2370" t="inlineStr">
        <is>
          <t>Yes</t>
        </is>
      </c>
      <c r="P2370" t="inlineStr">
        <is>
          <t>Soundariya B</t>
        </is>
      </c>
      <c r="Q2370" t="inlineStr">
        <is>
          <t>Bad</t>
        </is>
      </c>
    </row>
    <row r="2371">
      <c r="A2371" t="inlineStr">
        <is>
          <t>dhruv.p</t>
        </is>
      </c>
      <c r="B2371" t="inlineStr">
        <is>
          <t>Dhruv Pahadia</t>
        </is>
      </c>
      <c r="C2371" t="inlineStr">
        <is>
          <t>dhruv.p@osmosys.co</t>
        </is>
      </c>
      <c r="D2371" t="inlineStr">
        <is>
          <t>incident-reporter</t>
        </is>
      </c>
      <c r="E2371">
        <f>HYPERLINK("http://gitlab.osmosys.co/incident-reporter/incident-reporter-app", "OQSHA Mobile App")</f>
        <v/>
      </c>
      <c r="F2371">
        <f>HYPERLINK("http://gitlab.osmosys.co/incident-reporter/incident-reporter-app/-/merge_requests/1774", "feat: convert oqsha to pwa and implement user registration")</f>
        <v/>
      </c>
      <c r="G2371" t="inlineStr">
        <is>
          <t>feat/qr-scan-refactor</t>
        </is>
      </c>
      <c r="H2371" t="inlineStr">
        <is>
          <t>sprint-17</t>
        </is>
      </c>
      <c r="I2371" t="inlineStr">
        <is>
          <t>merged</t>
        </is>
      </c>
      <c r="J2371" t="inlineStr">
        <is>
          <t>9c84f5db060ce83e3d9bad250ca0bb5de67ad84e</t>
        </is>
      </c>
      <c r="K2371">
        <f>HYPERLINK("http://gitlab.osmosys.co/incident-reporter/incident-reporter-app/-/merge_requests/1774#note_236921", "Same here for color")</f>
        <v/>
      </c>
      <c r="L2371" t="inlineStr">
        <is>
          <t>2025-07-15 16:16:35.235 IST</t>
        </is>
      </c>
      <c r="M2371" t="inlineStr">
        <is>
          <t>Soundariya B</t>
        </is>
      </c>
      <c r="N2371" t="inlineStr">
        <is>
          <t>Yes</t>
        </is>
      </c>
      <c r="O2371" t="inlineStr">
        <is>
          <t>Yes</t>
        </is>
      </c>
      <c r="P2371" t="inlineStr">
        <is>
          <t>Soundariya B</t>
        </is>
      </c>
      <c r="Q2371" t="inlineStr">
        <is>
          <t>Bad</t>
        </is>
      </c>
    </row>
    <row r="2372">
      <c r="A2372" t="inlineStr">
        <is>
          <t>dhruv.p</t>
        </is>
      </c>
      <c r="B2372" t="inlineStr">
        <is>
          <t>Dhruv Pahadia</t>
        </is>
      </c>
      <c r="C2372" t="inlineStr">
        <is>
          <t>dhruv.p@osmosys.co</t>
        </is>
      </c>
      <c r="D2372" t="inlineStr">
        <is>
          <t>incident-reporter</t>
        </is>
      </c>
      <c r="E2372">
        <f>HYPERLINK("http://gitlab.osmosys.co/incident-reporter/incident-reporter-app", "OQSHA Mobile App")</f>
        <v/>
      </c>
      <c r="F2372">
        <f>HYPERLINK("http://gitlab.osmosys.co/incident-reporter/incident-reporter-app/-/merge_requests/1774", "feat: convert oqsha to pwa and implement user registration")</f>
        <v/>
      </c>
      <c r="G2372" t="inlineStr">
        <is>
          <t>feat/qr-scan-refactor</t>
        </is>
      </c>
      <c r="H2372" t="inlineStr">
        <is>
          <t>sprint-17</t>
        </is>
      </c>
      <c r="I2372" t="inlineStr">
        <is>
          <t>merged</t>
        </is>
      </c>
      <c r="J2372" t="inlineStr">
        <is>
          <t>9c84f5db060ce83e3d9bad250ca0bb5de67ad84e</t>
        </is>
      </c>
      <c r="K2372">
        <f>HYPERLINK("http://gitlab.osmosys.co/incident-reporter/incident-reporter-app/-/merge_requests/1774#note_237264", "fixed")</f>
        <v/>
      </c>
      <c r="L2372" t="inlineStr">
        <is>
          <t>2025-07-16 10:18:18.236 IST</t>
        </is>
      </c>
      <c r="M2372" t="inlineStr">
        <is>
          <t>Dhruv Pahadia</t>
        </is>
      </c>
      <c r="N2372" t="inlineStr">
        <is>
          <t>No</t>
        </is>
      </c>
      <c r="O2372" t="inlineStr">
        <is>
          <t>Yes</t>
        </is>
      </c>
      <c r="P2372" t="inlineStr">
        <is>
          <t>Soundariya B</t>
        </is>
      </c>
      <c r="Q2372" t="inlineStr">
        <is>
          <t>Bad</t>
        </is>
      </c>
    </row>
    <row r="2373">
      <c r="A2373" t="inlineStr">
        <is>
          <t>dhruv.p</t>
        </is>
      </c>
      <c r="B2373" t="inlineStr">
        <is>
          <t>Dhruv Pahadia</t>
        </is>
      </c>
      <c r="C2373" t="inlineStr">
        <is>
          <t>dhruv.p@osmosys.co</t>
        </is>
      </c>
      <c r="D2373" t="inlineStr">
        <is>
          <t>incident-reporter</t>
        </is>
      </c>
      <c r="E2373">
        <f>HYPERLINK("http://gitlab.osmosys.co/incident-reporter/incident-reporter-app", "OQSHA Mobile App")</f>
        <v/>
      </c>
      <c r="F2373">
        <f>HYPERLINK("http://gitlab.osmosys.co/incident-reporter/incident-reporter-app/-/merge_requests/1774", "feat: convert oqsha to pwa and implement user registration")</f>
        <v/>
      </c>
      <c r="G2373" t="inlineStr">
        <is>
          <t>feat/qr-scan-refactor</t>
        </is>
      </c>
      <c r="H2373" t="inlineStr">
        <is>
          <t>sprint-17</t>
        </is>
      </c>
      <c r="I2373" t="inlineStr">
        <is>
          <t>merged</t>
        </is>
      </c>
      <c r="J2373" t="inlineStr">
        <is>
          <t>5498b9b6a7af834fdf20d66df6851b78d60a345d</t>
        </is>
      </c>
      <c r="K2373">
        <f>HYPERLINK("http://gitlab.osmosys.co/incident-reporter/incident-reporter-app/-/merge_requests/1774#note_236922", "Same here")</f>
        <v/>
      </c>
      <c r="L2373" t="inlineStr">
        <is>
          <t>2025-07-15 16:16:35.289 IST</t>
        </is>
      </c>
      <c r="M2373" t="inlineStr">
        <is>
          <t>Soundariya B</t>
        </is>
      </c>
      <c r="N2373" t="inlineStr">
        <is>
          <t>Yes</t>
        </is>
      </c>
      <c r="O2373" t="inlineStr">
        <is>
          <t>Yes</t>
        </is>
      </c>
      <c r="P2373" t="inlineStr">
        <is>
          <t>Soundariya B</t>
        </is>
      </c>
      <c r="Q2373" t="inlineStr">
        <is>
          <t>Bad</t>
        </is>
      </c>
    </row>
    <row r="2374">
      <c r="A2374" t="inlineStr">
        <is>
          <t>dhruv.p</t>
        </is>
      </c>
      <c r="B2374" t="inlineStr">
        <is>
          <t>Dhruv Pahadia</t>
        </is>
      </c>
      <c r="C2374" t="inlineStr">
        <is>
          <t>dhruv.p@osmosys.co</t>
        </is>
      </c>
      <c r="D2374" t="inlineStr">
        <is>
          <t>incident-reporter</t>
        </is>
      </c>
      <c r="E2374">
        <f>HYPERLINK("http://gitlab.osmosys.co/incident-reporter/incident-reporter-app", "OQSHA Mobile App")</f>
        <v/>
      </c>
      <c r="F2374">
        <f>HYPERLINK("http://gitlab.osmosys.co/incident-reporter/incident-reporter-app/-/merge_requests/1774", "feat: convert oqsha to pwa and implement user registration")</f>
        <v/>
      </c>
      <c r="G2374" t="inlineStr">
        <is>
          <t>feat/qr-scan-refactor</t>
        </is>
      </c>
      <c r="H2374" t="inlineStr">
        <is>
          <t>sprint-17</t>
        </is>
      </c>
      <c r="I2374" t="inlineStr">
        <is>
          <t>merged</t>
        </is>
      </c>
      <c r="J2374" t="inlineStr">
        <is>
          <t>5498b9b6a7af834fdf20d66df6851b78d60a345d</t>
        </is>
      </c>
      <c r="K2374">
        <f>HYPERLINK("http://gitlab.osmosys.co/incident-reporter/incident-reporter-app/-/merge_requests/1774#note_237268", "These are already shorthand")</f>
        <v/>
      </c>
      <c r="L2374" t="inlineStr">
        <is>
          <t>2025-07-16 10:21:39.839 IST</t>
        </is>
      </c>
      <c r="M2374" t="inlineStr">
        <is>
          <t>Dhruv Pahadia</t>
        </is>
      </c>
      <c r="N2374" t="inlineStr">
        <is>
          <t>No</t>
        </is>
      </c>
      <c r="O2374" t="inlineStr">
        <is>
          <t>Yes</t>
        </is>
      </c>
      <c r="P2374" t="inlineStr">
        <is>
          <t>Soundariya B</t>
        </is>
      </c>
      <c r="Q2374" t="inlineStr">
        <is>
          <t>Bad</t>
        </is>
      </c>
    </row>
    <row r="2375">
      <c r="A2375" t="inlineStr">
        <is>
          <t>dhruv.p</t>
        </is>
      </c>
      <c r="B2375" t="inlineStr">
        <is>
          <t>Dhruv Pahadia</t>
        </is>
      </c>
      <c r="C2375" t="inlineStr">
        <is>
          <t>dhruv.p@osmosys.co</t>
        </is>
      </c>
      <c r="D2375" t="inlineStr">
        <is>
          <t>incident-reporter</t>
        </is>
      </c>
      <c r="E2375">
        <f>HYPERLINK("http://gitlab.osmosys.co/incident-reporter/incident-reporter-app", "OQSHA Mobile App")</f>
        <v/>
      </c>
      <c r="F2375">
        <f>HYPERLINK("http://gitlab.osmosys.co/incident-reporter/incident-reporter-app/-/merge_requests/1774", "feat: convert oqsha to pwa and implement user registration")</f>
        <v/>
      </c>
      <c r="G2375" t="inlineStr">
        <is>
          <t>feat/qr-scan-refactor</t>
        </is>
      </c>
      <c r="H2375" t="inlineStr">
        <is>
          <t>sprint-17</t>
        </is>
      </c>
      <c r="I2375" t="inlineStr">
        <is>
          <t>merged</t>
        </is>
      </c>
      <c r="J2375" t="inlineStr">
        <is>
          <t>5498b9b6a7af834fdf20d66df6851b78d60a345d</t>
        </is>
      </c>
      <c r="K2375">
        <f>HYPERLINK("http://gitlab.osmosys.co/incident-reporter/incident-reporter-app/-/merge_requests/1774#note_237442", "Please read my comment carefully and then fix it.")</f>
        <v/>
      </c>
      <c r="L2375" t="inlineStr">
        <is>
          <t>2025-07-16 13:08:35.923 IST</t>
        </is>
      </c>
      <c r="M2375" t="inlineStr">
        <is>
          <t>Soundariya B</t>
        </is>
      </c>
      <c r="N2375" t="inlineStr">
        <is>
          <t>Yes</t>
        </is>
      </c>
      <c r="O2375" t="inlineStr">
        <is>
          <t>Yes</t>
        </is>
      </c>
      <c r="P2375" t="inlineStr">
        <is>
          <t>Soundariya B</t>
        </is>
      </c>
      <c r="Q2375" t="inlineStr">
        <is>
          <t>Bad</t>
        </is>
      </c>
    </row>
    <row r="2376">
      <c r="A2376" t="inlineStr">
        <is>
          <t>dhruv.p</t>
        </is>
      </c>
      <c r="B2376" t="inlineStr">
        <is>
          <t>Dhruv Pahadia</t>
        </is>
      </c>
      <c r="C2376" t="inlineStr">
        <is>
          <t>dhruv.p@osmosys.co</t>
        </is>
      </c>
      <c r="D2376" t="inlineStr">
        <is>
          <t>incident-reporter</t>
        </is>
      </c>
      <c r="E2376">
        <f>HYPERLINK("http://gitlab.osmosys.co/incident-reporter/incident-reporter-app", "OQSHA Mobile App")</f>
        <v/>
      </c>
      <c r="F2376">
        <f>HYPERLINK("http://gitlab.osmosys.co/incident-reporter/incident-reporter-app/-/merge_requests/1774", "feat: convert oqsha to pwa and implement user registration")</f>
        <v/>
      </c>
      <c r="G2376" t="inlineStr">
        <is>
          <t>feat/qr-scan-refactor</t>
        </is>
      </c>
      <c r="H2376" t="inlineStr">
        <is>
          <t>sprint-17</t>
        </is>
      </c>
      <c r="I2376" t="inlineStr">
        <is>
          <t>merged</t>
        </is>
      </c>
      <c r="J2376" t="inlineStr">
        <is>
          <t>5498b9b6a7af834fdf20d66df6851b78d60a345d</t>
        </is>
      </c>
      <c r="K2376">
        <f>HYPERLINK("http://gitlab.osmosys.co/incident-reporter/incident-reporter-app/-/merge_requests/1774#note_237638", "margin: 0.5rem 0 its fine since we are adding margin/padding in more than 1 side, so consider this and approving")</f>
        <v/>
      </c>
      <c r="L2376" t="inlineStr">
        <is>
          <t>2025-07-16 16:09:08.318 IST</t>
        </is>
      </c>
      <c r="M2376" t="inlineStr">
        <is>
          <t>Soundariya B</t>
        </is>
      </c>
      <c r="N2376" t="inlineStr">
        <is>
          <t>Yes</t>
        </is>
      </c>
      <c r="O2376" t="inlineStr">
        <is>
          <t>Yes</t>
        </is>
      </c>
      <c r="P2376" t="inlineStr">
        <is>
          <t>Soundariya B</t>
        </is>
      </c>
      <c r="Q2376" t="inlineStr">
        <is>
          <t>Bad</t>
        </is>
      </c>
    </row>
    <row r="2377">
      <c r="A2377" t="inlineStr">
        <is>
          <t>dhruv.p</t>
        </is>
      </c>
      <c r="B2377" t="inlineStr">
        <is>
          <t>Dhruv Pahadia</t>
        </is>
      </c>
      <c r="C2377" t="inlineStr">
        <is>
          <t>dhruv.p@osmosys.co</t>
        </is>
      </c>
      <c r="D2377" t="inlineStr">
        <is>
          <t>incident-reporter</t>
        </is>
      </c>
      <c r="E2377">
        <f>HYPERLINK("http://gitlab.osmosys.co/incident-reporter/incident-reporter-app", "OQSHA Mobile App")</f>
        <v/>
      </c>
      <c r="F2377">
        <f>HYPERLINK("http://gitlab.osmosys.co/incident-reporter/incident-reporter-app/-/merge_requests/1774", "feat: convert oqsha to pwa and implement user registration")</f>
        <v/>
      </c>
      <c r="G2377" t="inlineStr">
        <is>
          <t>feat/qr-scan-refactor</t>
        </is>
      </c>
      <c r="H2377" t="inlineStr">
        <is>
          <t>sprint-17</t>
        </is>
      </c>
      <c r="I2377" t="inlineStr">
        <is>
          <t>merged</t>
        </is>
      </c>
      <c r="J2377" t="inlineStr">
        <is>
          <t>5f6fa679310c90b0f03b538839973f4860f28502</t>
        </is>
      </c>
      <c r="K2377">
        <f>HYPERLINK("http://gitlab.osmosys.co/incident-reporter/incident-reporter-app/-/merge_requests/1774#note_236923", "Declare data type")</f>
        <v/>
      </c>
      <c r="L2377" t="inlineStr">
        <is>
          <t>2025-07-15 16:16:35.392 IST</t>
        </is>
      </c>
      <c r="M2377" t="inlineStr">
        <is>
          <t>Soundariya B</t>
        </is>
      </c>
      <c r="N2377" t="inlineStr">
        <is>
          <t>Yes</t>
        </is>
      </c>
      <c r="O2377" t="inlineStr">
        <is>
          <t>Yes</t>
        </is>
      </c>
      <c r="P2377" t="inlineStr">
        <is>
          <t>Soundariya B</t>
        </is>
      </c>
      <c r="Q2377" t="inlineStr">
        <is>
          <t>Bad</t>
        </is>
      </c>
    </row>
    <row r="2378">
      <c r="A2378" t="inlineStr">
        <is>
          <t>dhruv.p</t>
        </is>
      </c>
      <c r="B2378" t="inlineStr">
        <is>
          <t>Dhruv Pahadia</t>
        </is>
      </c>
      <c r="C2378" t="inlineStr">
        <is>
          <t>dhruv.p@osmosys.co</t>
        </is>
      </c>
      <c r="D2378" t="inlineStr">
        <is>
          <t>incident-reporter</t>
        </is>
      </c>
      <c r="E2378">
        <f>HYPERLINK("http://gitlab.osmosys.co/incident-reporter/incident-reporter-app", "OQSHA Mobile App")</f>
        <v/>
      </c>
      <c r="F2378">
        <f>HYPERLINK("http://gitlab.osmosys.co/incident-reporter/incident-reporter-app/-/merge_requests/1774", "feat: convert oqsha to pwa and implement user registration")</f>
        <v/>
      </c>
      <c r="G2378" t="inlineStr">
        <is>
          <t>feat/qr-scan-refactor</t>
        </is>
      </c>
      <c r="H2378" t="inlineStr">
        <is>
          <t>sprint-17</t>
        </is>
      </c>
      <c r="I2378" t="inlineStr">
        <is>
          <t>merged</t>
        </is>
      </c>
      <c r="J2378" t="inlineStr">
        <is>
          <t>5f6fa679310c90b0f03b538839973f4860f28502</t>
        </is>
      </c>
      <c r="K2378">
        <f>HYPERLINK("http://gitlab.osmosys.co/incident-reporter/incident-reporter-app/-/merge_requests/1774#note_237272", "fixed")</f>
        <v/>
      </c>
      <c r="L2378" t="inlineStr">
        <is>
          <t>2025-07-16 10:26:16.259 IST</t>
        </is>
      </c>
      <c r="M2378" t="inlineStr">
        <is>
          <t>Dhruv Pahadia</t>
        </is>
      </c>
      <c r="N2378" t="inlineStr">
        <is>
          <t>No</t>
        </is>
      </c>
      <c r="O2378" t="inlineStr">
        <is>
          <t>Yes</t>
        </is>
      </c>
      <c r="P2378" t="inlineStr">
        <is>
          <t>Soundariya B</t>
        </is>
      </c>
      <c r="Q2378" t="inlineStr">
        <is>
          <t>Bad</t>
        </is>
      </c>
    </row>
    <row r="2379">
      <c r="A2379" t="inlineStr">
        <is>
          <t>dhruv.p</t>
        </is>
      </c>
      <c r="B2379" t="inlineStr">
        <is>
          <t>Dhruv Pahadia</t>
        </is>
      </c>
      <c r="C2379" t="inlineStr">
        <is>
          <t>dhruv.p@osmosys.co</t>
        </is>
      </c>
      <c r="D2379" t="inlineStr">
        <is>
          <t>incident-reporter</t>
        </is>
      </c>
      <c r="E2379">
        <f>HYPERLINK("http://gitlab.osmosys.co/incident-reporter/incident-reporter-app", "OQSHA Mobile App")</f>
        <v/>
      </c>
      <c r="F2379">
        <f>HYPERLINK("http://gitlab.osmosys.co/incident-reporter/incident-reporter-app/-/merge_requests/1774", "feat: convert oqsha to pwa and implement user registration")</f>
        <v/>
      </c>
      <c r="G2379" t="inlineStr">
        <is>
          <t>feat/qr-scan-refactor</t>
        </is>
      </c>
      <c r="H2379" t="inlineStr">
        <is>
          <t>sprint-17</t>
        </is>
      </c>
      <c r="I2379" t="inlineStr">
        <is>
          <t>merged</t>
        </is>
      </c>
      <c r="J2379" t="inlineStr">
        <is>
          <t>3685cd1db145e574ea0ef85a4c3717f9eceff90f</t>
        </is>
      </c>
      <c r="K2379">
        <f>HYPERLINK("http://gitlab.osmosys.co/incident-reporter/incident-reporter-app/-/merge_requests/1774#note_236924", "Same here")</f>
        <v/>
      </c>
      <c r="L2379" t="inlineStr">
        <is>
          <t>2025-07-15 16:16:35.455 IST</t>
        </is>
      </c>
      <c r="M2379" t="inlineStr">
        <is>
          <t>Soundariya B</t>
        </is>
      </c>
      <c r="N2379" t="inlineStr">
        <is>
          <t>Yes</t>
        </is>
      </c>
      <c r="O2379" t="inlineStr">
        <is>
          <t>Yes</t>
        </is>
      </c>
      <c r="P2379" t="inlineStr">
        <is>
          <t>Soundariya B</t>
        </is>
      </c>
      <c r="Q2379" t="inlineStr">
        <is>
          <t>Bad</t>
        </is>
      </c>
    </row>
    <row r="2380">
      <c r="A2380" t="inlineStr">
        <is>
          <t>dhruv.p</t>
        </is>
      </c>
      <c r="B2380" t="inlineStr">
        <is>
          <t>Dhruv Pahadia</t>
        </is>
      </c>
      <c r="C2380" t="inlineStr">
        <is>
          <t>dhruv.p@osmosys.co</t>
        </is>
      </c>
      <c r="D2380" t="inlineStr">
        <is>
          <t>incident-reporter</t>
        </is>
      </c>
      <c r="E2380">
        <f>HYPERLINK("http://gitlab.osmosys.co/incident-reporter/incident-reporter-app", "OQSHA Mobile App")</f>
        <v/>
      </c>
      <c r="F2380">
        <f>HYPERLINK("http://gitlab.osmosys.co/incident-reporter/incident-reporter-app/-/merge_requests/1774", "feat: convert oqsha to pwa and implement user registration")</f>
        <v/>
      </c>
      <c r="G2380" t="inlineStr">
        <is>
          <t>feat/qr-scan-refactor</t>
        </is>
      </c>
      <c r="H2380" t="inlineStr">
        <is>
          <t>sprint-17</t>
        </is>
      </c>
      <c r="I2380" t="inlineStr">
        <is>
          <t>merged</t>
        </is>
      </c>
      <c r="J2380" t="inlineStr">
        <is>
          <t>3685cd1db145e574ea0ef85a4c3717f9eceff90f</t>
        </is>
      </c>
      <c r="K2380">
        <f>HYPERLINK("http://gitlab.osmosys.co/incident-reporter/incident-reporter-app/-/merge_requests/1774#note_237313", "Fixed")</f>
        <v/>
      </c>
      <c r="L2380" t="inlineStr">
        <is>
          <t>2025-07-16 10:56:04.442 IST</t>
        </is>
      </c>
      <c r="M2380" t="inlineStr">
        <is>
          <t>Dhruv Pahadia</t>
        </is>
      </c>
      <c r="N2380" t="inlineStr">
        <is>
          <t>No</t>
        </is>
      </c>
      <c r="O2380" t="inlineStr">
        <is>
          <t>Yes</t>
        </is>
      </c>
      <c r="P2380" t="inlineStr">
        <is>
          <t>Soundariya B</t>
        </is>
      </c>
      <c r="Q2380" t="inlineStr">
        <is>
          <t>Bad</t>
        </is>
      </c>
    </row>
    <row r="2381">
      <c r="A2381" t="inlineStr">
        <is>
          <t>dhruv.p</t>
        </is>
      </c>
      <c r="B2381" t="inlineStr">
        <is>
          <t>Dhruv Pahadia</t>
        </is>
      </c>
      <c r="C2381" t="inlineStr">
        <is>
          <t>dhruv.p@osmosys.co</t>
        </is>
      </c>
      <c r="D2381" t="inlineStr">
        <is>
          <t>incident-reporter</t>
        </is>
      </c>
      <c r="E2381">
        <f>HYPERLINK("http://gitlab.osmosys.co/incident-reporter/incident-reporter-app", "OQSHA Mobile App")</f>
        <v/>
      </c>
      <c r="F2381">
        <f>HYPERLINK("http://gitlab.osmosys.co/incident-reporter/incident-reporter-app/-/merge_requests/1774", "feat: convert oqsha to pwa and implement user registration")</f>
        <v/>
      </c>
      <c r="G2381" t="inlineStr">
        <is>
          <t>feat/qr-scan-refactor</t>
        </is>
      </c>
      <c r="H2381" t="inlineStr">
        <is>
          <t>sprint-17</t>
        </is>
      </c>
      <c r="I2381" t="inlineStr">
        <is>
          <t>merged</t>
        </is>
      </c>
      <c r="J2381" t="inlineStr">
        <is>
          <t>b2b177ebee26029234e04393a8b29c1294325b6a</t>
        </is>
      </c>
      <c r="K2381">
        <f>HYPERLINK("http://gitlab.osmosys.co/incident-reporter/incident-reporter-app/-/merge_requests/1774#note_236925", "These hardcoded value should take from lang files so based on user lang uses the email will send in that lang only which makes user friendly app")</f>
        <v/>
      </c>
      <c r="L2381" t="inlineStr">
        <is>
          <t>2025-07-15 16:16:35.507 IST</t>
        </is>
      </c>
      <c r="M2381" t="inlineStr">
        <is>
          <t>Soundariya B</t>
        </is>
      </c>
      <c r="N2381" t="inlineStr">
        <is>
          <t>Yes</t>
        </is>
      </c>
      <c r="O2381" t="inlineStr">
        <is>
          <t>Yes</t>
        </is>
      </c>
      <c r="P2381" t="inlineStr">
        <is>
          <t>Soundariya B</t>
        </is>
      </c>
      <c r="Q2381" t="inlineStr">
        <is>
          <t>Neutral</t>
        </is>
      </c>
    </row>
    <row r="2382">
      <c r="A2382" t="inlineStr">
        <is>
          <t>dhruv.p</t>
        </is>
      </c>
      <c r="B2382" t="inlineStr">
        <is>
          <t>Dhruv Pahadia</t>
        </is>
      </c>
      <c r="C2382" t="inlineStr">
        <is>
          <t>dhruv.p@osmosys.co</t>
        </is>
      </c>
      <c r="D2382" t="inlineStr">
        <is>
          <t>incident-reporter</t>
        </is>
      </c>
      <c r="E2382">
        <f>HYPERLINK("http://gitlab.osmosys.co/incident-reporter/incident-reporter-app", "OQSHA Mobile App")</f>
        <v/>
      </c>
      <c r="F2382">
        <f>HYPERLINK("http://gitlab.osmosys.co/incident-reporter/incident-reporter-app/-/merge_requests/1774", "feat: convert oqsha to pwa and implement user registration")</f>
        <v/>
      </c>
      <c r="G2382" t="inlineStr">
        <is>
          <t>feat/qr-scan-refactor</t>
        </is>
      </c>
      <c r="H2382" t="inlineStr">
        <is>
          <t>sprint-17</t>
        </is>
      </c>
      <c r="I2382" t="inlineStr">
        <is>
          <t>merged</t>
        </is>
      </c>
      <c r="J2382" t="inlineStr">
        <is>
          <t>b2b177ebee26029234e04393a8b29c1294325b6a</t>
        </is>
      </c>
      <c r="K2382">
        <f>HYPERLINK("http://gitlab.osmosys.co/incident-reporter/incident-reporter-app/-/merge_requests/1774#note_237444", "??")</f>
        <v/>
      </c>
      <c r="L2382" t="inlineStr">
        <is>
          <t>2025-07-16 13:09:59.138 IST</t>
        </is>
      </c>
      <c r="M2382" t="inlineStr">
        <is>
          <t>Soundariya B</t>
        </is>
      </c>
      <c r="N2382" t="inlineStr">
        <is>
          <t>Yes</t>
        </is>
      </c>
      <c r="O2382" t="inlineStr">
        <is>
          <t>Yes</t>
        </is>
      </c>
      <c r="P2382" t="inlineStr">
        <is>
          <t>Soundariya B</t>
        </is>
      </c>
      <c r="Q2382" t="inlineStr">
        <is>
          <t>Neutral</t>
        </is>
      </c>
    </row>
    <row r="2383">
      <c r="A2383" t="inlineStr">
        <is>
          <t>dhruv.p</t>
        </is>
      </c>
      <c r="B2383" t="inlineStr">
        <is>
          <t>Dhruv Pahadia</t>
        </is>
      </c>
      <c r="C2383" t="inlineStr">
        <is>
          <t>dhruv.p@osmosys.co</t>
        </is>
      </c>
      <c r="D2383" t="inlineStr">
        <is>
          <t>incident-reporter</t>
        </is>
      </c>
      <c r="E2383">
        <f>HYPERLINK("http://gitlab.osmosys.co/incident-reporter/incident-reporter-app", "OQSHA Mobile App")</f>
        <v/>
      </c>
      <c r="F2383">
        <f>HYPERLINK("http://gitlab.osmosys.co/incident-reporter/incident-reporter-app/-/merge_requests/1774", "feat: convert oqsha to pwa and implement user registration")</f>
        <v/>
      </c>
      <c r="G2383" t="inlineStr">
        <is>
          <t>feat/qr-scan-refactor</t>
        </is>
      </c>
      <c r="H2383" t="inlineStr">
        <is>
          <t>sprint-17</t>
        </is>
      </c>
      <c r="I2383" t="inlineStr">
        <is>
          <t>merged</t>
        </is>
      </c>
      <c r="J2383" t="inlineStr">
        <is>
          <t>b2b177ebee26029234e04393a8b29c1294325b6a</t>
        </is>
      </c>
      <c r="K2383">
        <f>HYPERLINK("http://gitlab.osmosys.co/incident-reporter/incident-reporter-app/-/merge_requests/1774#note_237629", "This is exact copy of the function being used in the login page, we want the default language in the email to be English as it is much easier to type on phone and not everyone knows how to type to type in hindi/telugu etc on phone keyboard")</f>
        <v/>
      </c>
      <c r="L2383" t="inlineStr">
        <is>
          <t>2025-07-16 15:55:36.155 IST</t>
        </is>
      </c>
      <c r="M2383" t="inlineStr">
        <is>
          <t>Dhruv Pahadia</t>
        </is>
      </c>
      <c r="N2383" t="inlineStr">
        <is>
          <t>No</t>
        </is>
      </c>
      <c r="O2383" t="inlineStr">
        <is>
          <t>Yes</t>
        </is>
      </c>
      <c r="P2383" t="inlineStr">
        <is>
          <t>Soundariya B</t>
        </is>
      </c>
      <c r="Q2383" t="inlineStr">
        <is>
          <t>Neutral</t>
        </is>
      </c>
    </row>
    <row r="2384">
      <c r="A2384" t="inlineStr">
        <is>
          <t>dhruv.p</t>
        </is>
      </c>
      <c r="B2384" t="inlineStr">
        <is>
          <t>Dhruv Pahadia</t>
        </is>
      </c>
      <c r="C2384" t="inlineStr">
        <is>
          <t>dhruv.p@osmosys.co</t>
        </is>
      </c>
      <c r="D2384" t="inlineStr">
        <is>
          <t>incident-reporter</t>
        </is>
      </c>
      <c r="E2384">
        <f>HYPERLINK("http://gitlab.osmosys.co/incident-reporter/incident-reporter-app", "OQSHA Mobile App")</f>
        <v/>
      </c>
      <c r="F2384">
        <f>HYPERLINK("http://gitlab.osmosys.co/incident-reporter/incident-reporter-app/-/merge_requests/1774", "feat: convert oqsha to pwa and implement user registration")</f>
        <v/>
      </c>
      <c r="G2384" t="inlineStr">
        <is>
          <t>feat/qr-scan-refactor</t>
        </is>
      </c>
      <c r="H2384" t="inlineStr">
        <is>
          <t>sprint-17</t>
        </is>
      </c>
      <c r="I2384" t="inlineStr">
        <is>
          <t>merged</t>
        </is>
      </c>
      <c r="J2384" t="inlineStr">
        <is>
          <t>9de9f72bab84e369921e28d94eb32b1b4f5b03c8</t>
        </is>
      </c>
      <c r="K2384">
        <f>HYPERLINK("http://gitlab.osmosys.co/incident-reporter/incident-reporter-app/-/merge_requests/1774#note_236926", "Error toaster is missing")</f>
        <v/>
      </c>
      <c r="L2384" t="inlineStr">
        <is>
          <t>2025-07-15 16:16:35.565 IST</t>
        </is>
      </c>
      <c r="M2384" t="inlineStr">
        <is>
          <t>Soundariya B</t>
        </is>
      </c>
      <c r="N2384" t="inlineStr">
        <is>
          <t>Yes</t>
        </is>
      </c>
      <c r="O2384" t="inlineStr">
        <is>
          <t>Yes</t>
        </is>
      </c>
      <c r="P2384" t="inlineStr">
        <is>
          <t>Soundariya B</t>
        </is>
      </c>
      <c r="Q2384" t="inlineStr">
        <is>
          <t>Bad</t>
        </is>
      </c>
    </row>
    <row r="2385">
      <c r="A2385" t="inlineStr">
        <is>
          <t>dhruv.p</t>
        </is>
      </c>
      <c r="B2385" t="inlineStr">
        <is>
          <t>Dhruv Pahadia</t>
        </is>
      </c>
      <c r="C2385" t="inlineStr">
        <is>
          <t>dhruv.p@osmosys.co</t>
        </is>
      </c>
      <c r="D2385" t="inlineStr">
        <is>
          <t>incident-reporter</t>
        </is>
      </c>
      <c r="E2385">
        <f>HYPERLINK("http://gitlab.osmosys.co/incident-reporter/incident-reporter-app", "OQSHA Mobile App")</f>
        <v/>
      </c>
      <c r="F2385">
        <f>HYPERLINK("http://gitlab.osmosys.co/incident-reporter/incident-reporter-app/-/merge_requests/1774", "feat: convert oqsha to pwa and implement user registration")</f>
        <v/>
      </c>
      <c r="G2385" t="inlineStr">
        <is>
          <t>feat/qr-scan-refactor</t>
        </is>
      </c>
      <c r="H2385" t="inlineStr">
        <is>
          <t>sprint-17</t>
        </is>
      </c>
      <c r="I2385" t="inlineStr">
        <is>
          <t>merged</t>
        </is>
      </c>
      <c r="J2385" t="inlineStr">
        <is>
          <t>9de9f72bab84e369921e28d94eb32b1b4f5b03c8</t>
        </is>
      </c>
      <c r="K2385">
        <f>HYPERLINK("http://gitlab.osmosys.co/incident-reporter/incident-reporter-app/-/merge_requests/1774#note_237273", "Added")</f>
        <v/>
      </c>
      <c r="L2385" t="inlineStr">
        <is>
          <t>2025-07-16 10:28:38.141 IST</t>
        </is>
      </c>
      <c r="M2385" t="inlineStr">
        <is>
          <t>Dhruv Pahadia</t>
        </is>
      </c>
      <c r="N2385" t="inlineStr">
        <is>
          <t>No</t>
        </is>
      </c>
      <c r="O2385" t="inlineStr">
        <is>
          <t>Yes</t>
        </is>
      </c>
      <c r="P2385" t="inlineStr">
        <is>
          <t>Soundariya B</t>
        </is>
      </c>
      <c r="Q2385" t="inlineStr">
        <is>
          <t>Bad</t>
        </is>
      </c>
    </row>
    <row r="2386">
      <c r="A2386" t="inlineStr">
        <is>
          <t>dhruv.p</t>
        </is>
      </c>
      <c r="B2386" t="inlineStr">
        <is>
          <t>Dhruv Pahadia</t>
        </is>
      </c>
      <c r="C2386" t="inlineStr">
        <is>
          <t>dhruv.p@osmosys.co</t>
        </is>
      </c>
      <c r="D2386" t="inlineStr">
        <is>
          <t>incident-reporter</t>
        </is>
      </c>
      <c r="E2386">
        <f>HYPERLINK("http://gitlab.osmosys.co/incident-reporter/incident-reporter-app", "OQSHA Mobile App")</f>
        <v/>
      </c>
      <c r="F2386">
        <f>HYPERLINK("http://gitlab.osmosys.co/incident-reporter/incident-reporter-app/-/merge_requests/1774", "feat: convert oqsha to pwa and implement user registration")</f>
        <v/>
      </c>
      <c r="G2386" t="inlineStr">
        <is>
          <t>feat/qr-scan-refactor</t>
        </is>
      </c>
      <c r="H2386" t="inlineStr">
        <is>
          <t>sprint-17</t>
        </is>
      </c>
      <c r="I2386" t="inlineStr">
        <is>
          <t>merged</t>
        </is>
      </c>
      <c r="J2386" t="inlineStr">
        <is>
          <t>16c02f3a4e3543b97174f32ab3911f1366e0d78e</t>
        </is>
      </c>
      <c r="K2386">
        <f>HYPERLINK("http://gitlab.osmosys.co/incident-reporter/incident-reporter-app/-/merge_requests/1774#note_236927", "Both if conditions are same so the if block should be one here")</f>
        <v/>
      </c>
      <c r="L2386" t="inlineStr">
        <is>
          <t>2025-07-15 16:16:35.623 IST</t>
        </is>
      </c>
      <c r="M2386" t="inlineStr">
        <is>
          <t>Soundariya B</t>
        </is>
      </c>
      <c r="N2386" t="inlineStr">
        <is>
          <t>Yes</t>
        </is>
      </c>
      <c r="O2386" t="inlineStr">
        <is>
          <t>Yes</t>
        </is>
      </c>
      <c r="P2386" t="inlineStr">
        <is>
          <t>Soundariya B</t>
        </is>
      </c>
      <c r="Q2386" t="inlineStr">
        <is>
          <t>Bad</t>
        </is>
      </c>
    </row>
    <row r="2387">
      <c r="A2387" t="inlineStr">
        <is>
          <t>dhruv.p</t>
        </is>
      </c>
      <c r="B2387" t="inlineStr">
        <is>
          <t>Dhruv Pahadia</t>
        </is>
      </c>
      <c r="C2387" t="inlineStr">
        <is>
          <t>dhruv.p@osmosys.co</t>
        </is>
      </c>
      <c r="D2387" t="inlineStr">
        <is>
          <t>incident-reporter</t>
        </is>
      </c>
      <c r="E2387">
        <f>HYPERLINK("http://gitlab.osmosys.co/incident-reporter/incident-reporter-app", "OQSHA Mobile App")</f>
        <v/>
      </c>
      <c r="F2387">
        <f>HYPERLINK("http://gitlab.osmosys.co/incident-reporter/incident-reporter-app/-/merge_requests/1774", "feat: convert oqsha to pwa and implement user registration")</f>
        <v/>
      </c>
      <c r="G2387" t="inlineStr">
        <is>
          <t>feat/qr-scan-refactor</t>
        </is>
      </c>
      <c r="H2387" t="inlineStr">
        <is>
          <t>sprint-17</t>
        </is>
      </c>
      <c r="I2387" t="inlineStr">
        <is>
          <t>merged</t>
        </is>
      </c>
      <c r="J2387" t="inlineStr">
        <is>
          <t>16c02f3a4e3543b97174f32ab3911f1366e0d78e</t>
        </is>
      </c>
      <c r="K2387">
        <f>HYPERLINK("http://gitlab.osmosys.co/incident-reporter/incident-reporter-app/-/merge_requests/1774#note_237274", "fixed")</f>
        <v/>
      </c>
      <c r="L2387" t="inlineStr">
        <is>
          <t>2025-07-16 10:30:13.675 IST</t>
        </is>
      </c>
      <c r="M2387" t="inlineStr">
        <is>
          <t>Dhruv Pahadia</t>
        </is>
      </c>
      <c r="N2387" t="inlineStr">
        <is>
          <t>No</t>
        </is>
      </c>
      <c r="O2387" t="inlineStr">
        <is>
          <t>Yes</t>
        </is>
      </c>
      <c r="P2387" t="inlineStr">
        <is>
          <t>Soundariya B</t>
        </is>
      </c>
      <c r="Q2387" t="inlineStr">
        <is>
          <t>Bad</t>
        </is>
      </c>
    </row>
    <row r="2388">
      <c r="A2388" t="inlineStr">
        <is>
          <t>dhruv.p</t>
        </is>
      </c>
      <c r="B2388" t="inlineStr">
        <is>
          <t>Dhruv Pahadia</t>
        </is>
      </c>
      <c r="C2388" t="inlineStr">
        <is>
          <t>dhruv.p@osmosys.co</t>
        </is>
      </c>
      <c r="D2388" t="inlineStr">
        <is>
          <t>incident-reporter</t>
        </is>
      </c>
      <c r="E2388">
        <f>HYPERLINK("http://gitlab.osmosys.co/incident-reporter/incident-reporter-app", "OQSHA Mobile App")</f>
        <v/>
      </c>
      <c r="F2388">
        <f>HYPERLINK("http://gitlab.osmosys.co/incident-reporter/incident-reporter-app/-/merge_requests/1774", "feat: convert oqsha to pwa and implement user registration")</f>
        <v/>
      </c>
      <c r="G2388" t="inlineStr">
        <is>
          <t>feat/qr-scan-refactor</t>
        </is>
      </c>
      <c r="H2388" t="inlineStr">
        <is>
          <t>sprint-17</t>
        </is>
      </c>
      <c r="I2388" t="inlineStr">
        <is>
          <t>merged</t>
        </is>
      </c>
      <c r="J2388" t="inlineStr">
        <is>
          <t>848cc0987138ac16414b68c3f10ae0715d0dda30</t>
        </is>
      </c>
      <c r="K2388">
        <f>HYPERLINK("http://gitlab.osmosys.co/incident-reporter/incident-reporter-app/-/merge_requests/1774#note_236928", "Same here")</f>
        <v/>
      </c>
      <c r="L2388" t="inlineStr">
        <is>
          <t>2025-07-15 16:16:35.680 IST</t>
        </is>
      </c>
      <c r="M2388" t="inlineStr">
        <is>
          <t>Soundariya B</t>
        </is>
      </c>
      <c r="N2388" t="inlineStr">
        <is>
          <t>Yes</t>
        </is>
      </c>
      <c r="O2388" t="inlineStr">
        <is>
          <t>Yes</t>
        </is>
      </c>
      <c r="P2388" t="inlineStr">
        <is>
          <t>Soundariya B</t>
        </is>
      </c>
      <c r="Q2388" t="inlineStr">
        <is>
          <t>Bad</t>
        </is>
      </c>
    </row>
    <row r="2389">
      <c r="A2389" t="inlineStr">
        <is>
          <t>dhruv.p</t>
        </is>
      </c>
      <c r="B2389" t="inlineStr">
        <is>
          <t>Dhruv Pahadia</t>
        </is>
      </c>
      <c r="C2389" t="inlineStr">
        <is>
          <t>dhruv.p@osmosys.co</t>
        </is>
      </c>
      <c r="D2389" t="inlineStr">
        <is>
          <t>incident-reporter</t>
        </is>
      </c>
      <c r="E2389">
        <f>HYPERLINK("http://gitlab.osmosys.co/incident-reporter/incident-reporter-app", "OQSHA Mobile App")</f>
        <v/>
      </c>
      <c r="F2389">
        <f>HYPERLINK("http://gitlab.osmosys.co/incident-reporter/incident-reporter-app/-/merge_requests/1774", "feat: convert oqsha to pwa and implement user registration")</f>
        <v/>
      </c>
      <c r="G2389" t="inlineStr">
        <is>
          <t>feat/qr-scan-refactor</t>
        </is>
      </c>
      <c r="H2389" t="inlineStr">
        <is>
          <t>sprint-17</t>
        </is>
      </c>
      <c r="I2389" t="inlineStr">
        <is>
          <t>merged</t>
        </is>
      </c>
      <c r="J2389" t="inlineStr">
        <is>
          <t>848cc0987138ac16414b68c3f10ae0715d0dda30</t>
        </is>
      </c>
      <c r="K2389">
        <f>HYPERLINK("http://gitlab.osmosys.co/incident-reporter/incident-reporter-app/-/merge_requests/1774#note_237275", "fixed")</f>
        <v/>
      </c>
      <c r="L2389" t="inlineStr">
        <is>
          <t>2025-07-16 10:30:25.066 IST</t>
        </is>
      </c>
      <c r="M2389" t="inlineStr">
        <is>
          <t>Dhruv Pahadia</t>
        </is>
      </c>
      <c r="N2389" t="inlineStr">
        <is>
          <t>No</t>
        </is>
      </c>
      <c r="O2389" t="inlineStr">
        <is>
          <t>Yes</t>
        </is>
      </c>
      <c r="P2389" t="inlineStr">
        <is>
          <t>Soundariya B</t>
        </is>
      </c>
      <c r="Q2389" t="inlineStr">
        <is>
          <t>Bad</t>
        </is>
      </c>
    </row>
    <row r="2390">
      <c r="A2390" t="inlineStr">
        <is>
          <t>dhruv.p</t>
        </is>
      </c>
      <c r="B2390" t="inlineStr">
        <is>
          <t>Dhruv Pahadia</t>
        </is>
      </c>
      <c r="C2390" t="inlineStr">
        <is>
          <t>dhruv.p@osmosys.co</t>
        </is>
      </c>
      <c r="D2390" t="inlineStr">
        <is>
          <t>incident-reporter</t>
        </is>
      </c>
      <c r="E2390">
        <f>HYPERLINK("http://gitlab.osmosys.co/incident-reporter/incident-reporter-app", "OQSHA Mobile App")</f>
        <v/>
      </c>
      <c r="F2390">
        <f>HYPERLINK("http://gitlab.osmosys.co/incident-reporter/incident-reporter-app/-/merge_requests/1774", "feat: convert oqsha to pwa and implement user registration")</f>
        <v/>
      </c>
      <c r="G2390" t="inlineStr">
        <is>
          <t>feat/qr-scan-refactor</t>
        </is>
      </c>
      <c r="H2390" t="inlineStr">
        <is>
          <t>sprint-17</t>
        </is>
      </c>
      <c r="I2390" t="inlineStr">
        <is>
          <t>merged</t>
        </is>
      </c>
      <c r="J2390" t="inlineStr">
        <is>
          <t>3cc6058b138890e5638497b20bba5a04079c516f</t>
        </is>
      </c>
      <c r="K2390">
        <f>HYPERLINK("http://gitlab.osmosys.co/incident-reporter/incident-reporter-app/-/merge_requests/1774#note_236929", "these two lines can be put or use after if and else block because both are using for if and else also")</f>
        <v/>
      </c>
      <c r="L2390" t="inlineStr">
        <is>
          <t>2025-07-15 16:16:35.734 IST</t>
        </is>
      </c>
      <c r="M2390" t="inlineStr">
        <is>
          <t>Soundariya B</t>
        </is>
      </c>
      <c r="N2390" t="inlineStr">
        <is>
          <t>Yes</t>
        </is>
      </c>
      <c r="O2390" t="inlineStr">
        <is>
          <t>Yes</t>
        </is>
      </c>
      <c r="P2390" t="inlineStr">
        <is>
          <t>Soundariya B</t>
        </is>
      </c>
      <c r="Q2390" t="inlineStr">
        <is>
          <t>Bad</t>
        </is>
      </c>
    </row>
    <row r="2391">
      <c r="A2391" t="inlineStr">
        <is>
          <t>dhruv.p</t>
        </is>
      </c>
      <c r="B2391" t="inlineStr">
        <is>
          <t>Dhruv Pahadia</t>
        </is>
      </c>
      <c r="C2391" t="inlineStr">
        <is>
          <t>dhruv.p@osmosys.co</t>
        </is>
      </c>
      <c r="D2391" t="inlineStr">
        <is>
          <t>incident-reporter</t>
        </is>
      </c>
      <c r="E2391">
        <f>HYPERLINK("http://gitlab.osmosys.co/incident-reporter/incident-reporter-app", "OQSHA Mobile App")</f>
        <v/>
      </c>
      <c r="F2391">
        <f>HYPERLINK("http://gitlab.osmosys.co/incident-reporter/incident-reporter-app/-/merge_requests/1774", "feat: convert oqsha to pwa and implement user registration")</f>
        <v/>
      </c>
      <c r="G2391" t="inlineStr">
        <is>
          <t>feat/qr-scan-refactor</t>
        </is>
      </c>
      <c r="H2391" t="inlineStr">
        <is>
          <t>sprint-17</t>
        </is>
      </c>
      <c r="I2391" t="inlineStr">
        <is>
          <t>merged</t>
        </is>
      </c>
      <c r="J2391" t="inlineStr">
        <is>
          <t>3cc6058b138890e5638497b20bba5a04079c516f</t>
        </is>
      </c>
      <c r="K2391">
        <f>HYPERLINK("http://gitlab.osmosys.co/incident-reporter/incident-reporter-app/-/merge_requests/1774#note_237287", "fixed")</f>
        <v/>
      </c>
      <c r="L2391" t="inlineStr">
        <is>
          <t>2025-07-16 10:40:35.182 IST</t>
        </is>
      </c>
      <c r="M2391" t="inlineStr">
        <is>
          <t>Dhruv Pahadia</t>
        </is>
      </c>
      <c r="N2391" t="inlineStr">
        <is>
          <t>No</t>
        </is>
      </c>
      <c r="O2391" t="inlineStr">
        <is>
          <t>Yes</t>
        </is>
      </c>
      <c r="P2391" t="inlineStr">
        <is>
          <t>Soundariya B</t>
        </is>
      </c>
      <c r="Q2391" t="inlineStr">
        <is>
          <t>Bad</t>
        </is>
      </c>
    </row>
    <row r="2392">
      <c r="A2392" t="inlineStr">
        <is>
          <t>dhruv.p</t>
        </is>
      </c>
      <c r="B2392" t="inlineStr">
        <is>
          <t>Dhruv Pahadia</t>
        </is>
      </c>
      <c r="C2392" t="inlineStr">
        <is>
          <t>dhruv.p@osmosys.co</t>
        </is>
      </c>
      <c r="D2392" t="inlineStr">
        <is>
          <t>incident-reporter</t>
        </is>
      </c>
      <c r="E2392">
        <f>HYPERLINK("http://gitlab.osmosys.co/incident-reporter/incident-reporter-app", "OQSHA Mobile App")</f>
        <v/>
      </c>
      <c r="F2392">
        <f>HYPERLINK("http://gitlab.osmosys.co/incident-reporter/incident-reporter-app/-/merge_requests/1774", "feat: convert oqsha to pwa and implement user registration")</f>
        <v/>
      </c>
      <c r="G2392" t="inlineStr">
        <is>
          <t>feat/qr-scan-refactor</t>
        </is>
      </c>
      <c r="H2392" t="inlineStr">
        <is>
          <t>sprint-17</t>
        </is>
      </c>
      <c r="I2392" t="inlineStr">
        <is>
          <t>merged</t>
        </is>
      </c>
      <c r="J2392" t="inlineStr">
        <is>
          <t>4b6a6cc2d816ee5c8a45f91d04584fdc1bab9e99</t>
        </is>
      </c>
      <c r="K2392">
        <f>HYPERLINK("http://gitlab.osmosys.co/incident-reporter/incident-reporter-app/-/merge_requests/1774#note_236930", "Take these from interface model this is not a good practice")</f>
        <v/>
      </c>
      <c r="L2392" t="inlineStr">
        <is>
          <t>2025-07-15 16:16:35.812 IST</t>
        </is>
      </c>
      <c r="M2392" t="inlineStr">
        <is>
          <t>Soundariya B</t>
        </is>
      </c>
      <c r="N2392" t="inlineStr">
        <is>
          <t>Yes</t>
        </is>
      </c>
      <c r="O2392" t="inlineStr">
        <is>
          <t>Yes</t>
        </is>
      </c>
      <c r="P2392" t="inlineStr">
        <is>
          <t>Soundariya B</t>
        </is>
      </c>
      <c r="Q2392" t="inlineStr">
        <is>
          <t>Bad</t>
        </is>
      </c>
    </row>
    <row r="2393">
      <c r="A2393" t="inlineStr">
        <is>
          <t>dhruv.p</t>
        </is>
      </c>
      <c r="B2393" t="inlineStr">
        <is>
          <t>Dhruv Pahadia</t>
        </is>
      </c>
      <c r="C2393" t="inlineStr">
        <is>
          <t>dhruv.p@osmosys.co</t>
        </is>
      </c>
      <c r="D2393" t="inlineStr">
        <is>
          <t>incident-reporter</t>
        </is>
      </c>
      <c r="E2393">
        <f>HYPERLINK("http://gitlab.osmosys.co/incident-reporter/incident-reporter-app", "OQSHA Mobile App")</f>
        <v/>
      </c>
      <c r="F2393">
        <f>HYPERLINK("http://gitlab.osmosys.co/incident-reporter/incident-reporter-app/-/merge_requests/1774", "feat: convert oqsha to pwa and implement user registration")</f>
        <v/>
      </c>
      <c r="G2393" t="inlineStr">
        <is>
          <t>feat/qr-scan-refactor</t>
        </is>
      </c>
      <c r="H2393" t="inlineStr">
        <is>
          <t>sprint-17</t>
        </is>
      </c>
      <c r="I2393" t="inlineStr">
        <is>
          <t>merged</t>
        </is>
      </c>
      <c r="J2393" t="inlineStr">
        <is>
          <t>4b6a6cc2d816ee5c8a45f91d04584fdc1bab9e99</t>
        </is>
      </c>
      <c r="K2393">
        <f>HYPERLINK("http://gitlab.osmosys.co/incident-reporter/incident-reporter-app/-/merge_requests/1774#note_237280", "fixed")</f>
        <v/>
      </c>
      <c r="L2393" t="inlineStr">
        <is>
          <t>2025-07-16 10:35:49.977 IST</t>
        </is>
      </c>
      <c r="M2393" t="inlineStr">
        <is>
          <t>Dhruv Pahadia</t>
        </is>
      </c>
      <c r="N2393" t="inlineStr">
        <is>
          <t>No</t>
        </is>
      </c>
      <c r="O2393" t="inlineStr">
        <is>
          <t>Yes</t>
        </is>
      </c>
      <c r="P2393" t="inlineStr">
        <is>
          <t>Soundariya B</t>
        </is>
      </c>
      <c r="Q2393" t="inlineStr">
        <is>
          <t>Bad</t>
        </is>
      </c>
    </row>
    <row r="2394">
      <c r="A2394" t="inlineStr">
        <is>
          <t>dhruv.p</t>
        </is>
      </c>
      <c r="B2394" t="inlineStr">
        <is>
          <t>Dhruv Pahadia</t>
        </is>
      </c>
      <c r="C2394" t="inlineStr">
        <is>
          <t>dhruv.p@osmosys.co</t>
        </is>
      </c>
      <c r="D2394" t="inlineStr">
        <is>
          <t>incident-reporter</t>
        </is>
      </c>
      <c r="E2394">
        <f>HYPERLINK("http://gitlab.osmosys.co/incident-reporter/incident-reporter-app", "OQSHA Mobile App")</f>
        <v/>
      </c>
      <c r="F2394">
        <f>HYPERLINK("http://gitlab.osmosys.co/incident-reporter/incident-reporter-app/-/merge_requests/1774", "feat: convert oqsha to pwa and implement user registration")</f>
        <v/>
      </c>
      <c r="G2394" t="inlineStr">
        <is>
          <t>feat/qr-scan-refactor</t>
        </is>
      </c>
      <c r="H2394" t="inlineStr">
        <is>
          <t>sprint-17</t>
        </is>
      </c>
      <c r="I2394" t="inlineStr">
        <is>
          <t>merged</t>
        </is>
      </c>
      <c r="J2394" t="inlineStr">
        <is>
          <t>1a5933dcb1f26ce7ad8750b7275350af346efbc3</t>
        </is>
      </c>
      <c r="K2394">
        <f>HYPERLINK("http://gitlab.osmosys.co/incident-reporter/incident-reporter-app/-/merge_requests/1774#note_236931", "Don't have any permission for this page")</f>
        <v/>
      </c>
      <c r="L2394" t="inlineStr">
        <is>
          <t>2025-07-15 16:16:35.895 IST</t>
        </is>
      </c>
      <c r="M2394" t="inlineStr">
        <is>
          <t>Soundariya B</t>
        </is>
      </c>
      <c r="N2394" t="inlineStr">
        <is>
          <t>Yes</t>
        </is>
      </c>
      <c r="O2394" t="inlineStr">
        <is>
          <t>Yes</t>
        </is>
      </c>
      <c r="P2394" t="inlineStr">
        <is>
          <t>Soundariya B</t>
        </is>
      </c>
      <c r="Q2394" t="inlineStr">
        <is>
          <t>Neutral</t>
        </is>
      </c>
    </row>
    <row r="2395">
      <c r="A2395" t="inlineStr">
        <is>
          <t>dhruv.p</t>
        </is>
      </c>
      <c r="B2395" t="inlineStr">
        <is>
          <t>Dhruv Pahadia</t>
        </is>
      </c>
      <c r="C2395" t="inlineStr">
        <is>
          <t>dhruv.p@osmosys.co</t>
        </is>
      </c>
      <c r="D2395" t="inlineStr">
        <is>
          <t>incident-reporter</t>
        </is>
      </c>
      <c r="E2395">
        <f>HYPERLINK("http://gitlab.osmosys.co/incident-reporter/incident-reporter-app", "OQSHA Mobile App")</f>
        <v/>
      </c>
      <c r="F2395">
        <f>HYPERLINK("http://gitlab.osmosys.co/incident-reporter/incident-reporter-app/-/merge_requests/1774", "feat: convert oqsha to pwa and implement user registration")</f>
        <v/>
      </c>
      <c r="G2395" t="inlineStr">
        <is>
          <t>feat/qr-scan-refactor</t>
        </is>
      </c>
      <c r="H2395" t="inlineStr">
        <is>
          <t>sprint-17</t>
        </is>
      </c>
      <c r="I2395" t="inlineStr">
        <is>
          <t>merged</t>
        </is>
      </c>
      <c r="J2395" t="inlineStr">
        <is>
          <t>1a5933dcb1f26ce7ad8750b7275350af346efbc3</t>
        </is>
      </c>
      <c r="K2395">
        <f>HYPERLINK("http://gitlab.osmosys.co/incident-reporter/incident-reporter-app/-/merge_requests/1774#note_237271", "No, since this is just a registration page")</f>
        <v/>
      </c>
      <c r="L2395" t="inlineStr">
        <is>
          <t>2025-07-16 10:24:16.375 IST</t>
        </is>
      </c>
      <c r="M2395" t="inlineStr">
        <is>
          <t>Dhruv Pahadia</t>
        </is>
      </c>
      <c r="N2395" t="inlineStr">
        <is>
          <t>No</t>
        </is>
      </c>
      <c r="O2395" t="inlineStr">
        <is>
          <t>Yes</t>
        </is>
      </c>
      <c r="P2395" t="inlineStr">
        <is>
          <t>Soundariya B</t>
        </is>
      </c>
      <c r="Q2395" t="inlineStr">
        <is>
          <t>Neutral</t>
        </is>
      </c>
    </row>
    <row r="2396">
      <c r="A2396" t="inlineStr">
        <is>
          <t>dhruv.p</t>
        </is>
      </c>
      <c r="B2396" t="inlineStr">
        <is>
          <t>Dhruv Pahadia</t>
        </is>
      </c>
      <c r="C2396" t="inlineStr">
        <is>
          <t>dhruv.p@osmosys.co</t>
        </is>
      </c>
      <c r="D2396" t="inlineStr">
        <is>
          <t>incident-reporter</t>
        </is>
      </c>
      <c r="E2396">
        <f>HYPERLINK("http://gitlab.osmosys.co/incident-reporter/incident-reporter-app", "OQSHA Mobile App")</f>
        <v/>
      </c>
      <c r="F2396">
        <f>HYPERLINK("http://gitlab.osmosys.co/incident-reporter/incident-reporter-app/-/merge_requests/1774", "feat: convert oqsha to pwa and implement user registration")</f>
        <v/>
      </c>
      <c r="G2396" t="inlineStr">
        <is>
          <t>feat/qr-scan-refactor</t>
        </is>
      </c>
      <c r="H2396" t="inlineStr">
        <is>
          <t>sprint-17</t>
        </is>
      </c>
      <c r="I2396" t="inlineStr">
        <is>
          <t>merged</t>
        </is>
      </c>
      <c r="J2396" t="inlineStr">
        <is>
          <t>1727703d0a71f4302be687f174a1d016fd318a9d</t>
        </is>
      </c>
      <c r="K2396">
        <f>HYPERLINK("http://gitlab.osmosys.co/incident-reporter/incident-reporter-app/-/merge_requests/1774#note_236932", "Use parseInt with radix")</f>
        <v/>
      </c>
      <c r="L2396" t="inlineStr">
        <is>
          <t>2025-07-15 16:16:35.974 IST</t>
        </is>
      </c>
      <c r="M2396" t="inlineStr">
        <is>
          <t>Soundariya B</t>
        </is>
      </c>
      <c r="N2396" t="inlineStr">
        <is>
          <t>Yes</t>
        </is>
      </c>
      <c r="O2396" t="inlineStr">
        <is>
          <t>Yes</t>
        </is>
      </c>
      <c r="P2396" t="inlineStr">
        <is>
          <t>Soundariya B</t>
        </is>
      </c>
      <c r="Q2396" t="inlineStr">
        <is>
          <t>Bad</t>
        </is>
      </c>
    </row>
    <row r="2397">
      <c r="A2397" t="inlineStr">
        <is>
          <t>dhruv.p</t>
        </is>
      </c>
      <c r="B2397" t="inlineStr">
        <is>
          <t>Dhruv Pahadia</t>
        </is>
      </c>
      <c r="C2397" t="inlineStr">
        <is>
          <t>dhruv.p@osmosys.co</t>
        </is>
      </c>
      <c r="D2397" t="inlineStr">
        <is>
          <t>incident-reporter</t>
        </is>
      </c>
      <c r="E2397">
        <f>HYPERLINK("http://gitlab.osmosys.co/incident-reporter/incident-reporter-app", "OQSHA Mobile App")</f>
        <v/>
      </c>
      <c r="F2397">
        <f>HYPERLINK("http://gitlab.osmosys.co/incident-reporter/incident-reporter-app/-/merge_requests/1774", "feat: convert oqsha to pwa and implement user registration")</f>
        <v/>
      </c>
      <c r="G2397" t="inlineStr">
        <is>
          <t>feat/qr-scan-refactor</t>
        </is>
      </c>
      <c r="H2397" t="inlineStr">
        <is>
          <t>sprint-17</t>
        </is>
      </c>
      <c r="I2397" t="inlineStr">
        <is>
          <t>merged</t>
        </is>
      </c>
      <c r="J2397" t="inlineStr">
        <is>
          <t>1727703d0a71f4302be687f174a1d016fd318a9d</t>
        </is>
      </c>
      <c r="K2397">
        <f>HYPERLINK("http://gitlab.osmosys.co/incident-reporter/incident-reporter-app/-/merge_requests/1774#note_237284", "fixed")</f>
        <v/>
      </c>
      <c r="L2397" t="inlineStr">
        <is>
          <t>2025-07-16 10:39:04.169 IST</t>
        </is>
      </c>
      <c r="M2397" t="inlineStr">
        <is>
          <t>Dhruv Pahadia</t>
        </is>
      </c>
      <c r="N2397" t="inlineStr">
        <is>
          <t>No</t>
        </is>
      </c>
      <c r="O2397" t="inlineStr">
        <is>
          <t>Yes</t>
        </is>
      </c>
      <c r="P2397" t="inlineStr">
        <is>
          <t>Soundariya B</t>
        </is>
      </c>
      <c r="Q2397" t="inlineStr">
        <is>
          <t>Bad</t>
        </is>
      </c>
    </row>
    <row r="2398">
      <c r="A2398" t="inlineStr">
        <is>
          <t>dhruv.p</t>
        </is>
      </c>
      <c r="B2398" t="inlineStr">
        <is>
          <t>Dhruv Pahadia</t>
        </is>
      </c>
      <c r="C2398" t="inlineStr">
        <is>
          <t>dhruv.p@osmosys.co</t>
        </is>
      </c>
      <c r="D2398" t="inlineStr">
        <is>
          <t>incident-reporter</t>
        </is>
      </c>
      <c r="E2398">
        <f>HYPERLINK("http://gitlab.osmosys.co/incident-reporter/incident-reporter-app", "OQSHA Mobile App")</f>
        <v/>
      </c>
      <c r="F2398">
        <f>HYPERLINK("http://gitlab.osmosys.co/incident-reporter/incident-reporter-app/-/merge_requests/1774", "feat: convert oqsha to pwa and implement user registration")</f>
        <v/>
      </c>
      <c r="G2398" t="inlineStr">
        <is>
          <t>feat/qr-scan-refactor</t>
        </is>
      </c>
      <c r="H2398" t="inlineStr">
        <is>
          <t>sprint-17</t>
        </is>
      </c>
      <c r="I2398" t="inlineStr">
        <is>
          <t>merged</t>
        </is>
      </c>
      <c r="J2398" t="inlineStr">
        <is>
          <t>93c5a4291464c78af73485c48926d4ebe07ce267</t>
        </is>
      </c>
      <c r="K2398">
        <f>HYPERLINK("http://gitlab.osmosys.co/incident-reporter/incident-reporter-app/-/merge_requests/1774#note_236933", "I hope this is not create other issue and handle properly for this service")</f>
        <v/>
      </c>
      <c r="L2398" t="inlineStr">
        <is>
          <t>2025-07-15 16:16:36.049 IST</t>
        </is>
      </c>
      <c r="M2398" t="inlineStr">
        <is>
          <t>Soundariya B</t>
        </is>
      </c>
      <c r="N2398" t="inlineStr">
        <is>
          <t>Yes</t>
        </is>
      </c>
      <c r="O2398" t="inlineStr">
        <is>
          <t>Yes</t>
        </is>
      </c>
      <c r="P2398" t="inlineStr">
        <is>
          <t>Soundariya B</t>
        </is>
      </c>
      <c r="Q2398" t="inlineStr">
        <is>
          <t>Neutral</t>
        </is>
      </c>
    </row>
    <row r="2399">
      <c r="A2399" t="inlineStr">
        <is>
          <t>dhruv.p</t>
        </is>
      </c>
      <c r="B2399" t="inlineStr">
        <is>
          <t>Dhruv Pahadia</t>
        </is>
      </c>
      <c r="C2399" t="inlineStr">
        <is>
          <t>dhruv.p@osmosys.co</t>
        </is>
      </c>
      <c r="D2399" t="inlineStr">
        <is>
          <t>incident-reporter</t>
        </is>
      </c>
      <c r="E2399">
        <f>HYPERLINK("http://gitlab.osmosys.co/incident-reporter/incident-reporter-app", "OQSHA Mobile App")</f>
        <v/>
      </c>
      <c r="F2399">
        <f>HYPERLINK("http://gitlab.osmosys.co/incident-reporter/incident-reporter-app/-/merge_requests/1774", "feat: convert oqsha to pwa and implement user registration")</f>
        <v/>
      </c>
      <c r="G2399" t="inlineStr">
        <is>
          <t>feat/qr-scan-refactor</t>
        </is>
      </c>
      <c r="H2399" t="inlineStr">
        <is>
          <t>sprint-17</t>
        </is>
      </c>
      <c r="I2399" t="inlineStr">
        <is>
          <t>merged</t>
        </is>
      </c>
      <c r="J2399" t="inlineStr">
        <is>
          <t>93c5a4291464c78af73485c48926d4ebe07ce267</t>
        </is>
      </c>
      <c r="K2399">
        <f>HYPERLINK("http://gitlab.osmosys.co/incident-reporter/incident-reporter-app/-/merge_requests/1774#note_237270", "tested thoroughly, not affecting other modules")</f>
        <v/>
      </c>
      <c r="L2399" t="inlineStr">
        <is>
          <t>2025-07-16 10:23:59.695 IST</t>
        </is>
      </c>
      <c r="M2399" t="inlineStr">
        <is>
          <t>Dhruv Pahadia</t>
        </is>
      </c>
      <c r="N2399" t="inlineStr">
        <is>
          <t>No</t>
        </is>
      </c>
      <c r="O2399" t="inlineStr">
        <is>
          <t>Yes</t>
        </is>
      </c>
      <c r="P2399" t="inlineStr">
        <is>
          <t>Soundariya B</t>
        </is>
      </c>
      <c r="Q2399" t="inlineStr">
        <is>
          <t>Neutral</t>
        </is>
      </c>
    </row>
    <row r="2400">
      <c r="A2400" t="inlineStr">
        <is>
          <t>dhruv.p</t>
        </is>
      </c>
      <c r="B2400" t="inlineStr">
        <is>
          <t>Dhruv Pahadia</t>
        </is>
      </c>
      <c r="C2400" t="inlineStr">
        <is>
          <t>dhruv.p@osmosys.co</t>
        </is>
      </c>
      <c r="D2400" t="inlineStr">
        <is>
          <t>incident-reporter</t>
        </is>
      </c>
      <c r="E2400">
        <f>HYPERLINK("http://gitlab.osmosys.co/incident-reporter/incident-reporter-app", "OQSHA Mobile App")</f>
        <v/>
      </c>
      <c r="F2400">
        <f>HYPERLINK("http://gitlab.osmosys.co/incident-reporter/incident-reporter-app/-/merge_requests/1773", "fix: show correct duration in job extension after reassigning")</f>
        <v/>
      </c>
      <c r="G2400" t="inlineStr">
        <is>
          <t>fix/extension-duration</t>
        </is>
      </c>
      <c r="H2400" t="inlineStr">
        <is>
          <t>sprint-17</t>
        </is>
      </c>
      <c r="I2400" t="inlineStr">
        <is>
          <t>merged</t>
        </is>
      </c>
      <c r="J2400" t="inlineStr"/>
      <c r="K2400" t="inlineStr"/>
      <c r="L2400" t="inlineStr"/>
      <c r="M2400" t="inlineStr"/>
      <c r="N2400" t="inlineStr"/>
      <c r="O2400" t="inlineStr"/>
      <c r="P2400" t="inlineStr"/>
      <c r="Q2400" t="inlineStr"/>
    </row>
    <row r="2401">
      <c r="A2401" t="inlineStr">
        <is>
          <t>dhruv.p</t>
        </is>
      </c>
      <c r="B2401" t="inlineStr">
        <is>
          <t>Dhruv Pahadia</t>
        </is>
      </c>
      <c r="C2401" t="inlineStr">
        <is>
          <t>dhruv.p@osmosys.co</t>
        </is>
      </c>
      <c r="D2401" t="inlineStr">
        <is>
          <t>incident-reporter</t>
        </is>
      </c>
      <c r="E2401">
        <f>HYPERLINK("http://gitlab.osmosys.co/incident-reporter/incident-reporter-app", "OQSHA Mobile App")</f>
        <v/>
      </c>
      <c r="F2401">
        <f>HYPERLINK("http://gitlab.osmosys.co/incident-reporter/incident-reporter-app/-/merge_requests/1772", "fix: show correct duration in job extension after reassigning")</f>
        <v/>
      </c>
      <c r="G2401" t="inlineStr">
        <is>
          <t>fix/ptw-duration</t>
        </is>
      </c>
      <c r="H2401" t="inlineStr">
        <is>
          <t>sprint-16</t>
        </is>
      </c>
      <c r="I2401" t="inlineStr">
        <is>
          <t>closed</t>
        </is>
      </c>
      <c r="J2401" t="inlineStr"/>
      <c r="K2401" t="inlineStr"/>
      <c r="L2401" t="inlineStr"/>
      <c r="M2401" t="inlineStr"/>
      <c r="N2401" t="inlineStr"/>
      <c r="O2401" t="inlineStr"/>
      <c r="P2401" t="inlineStr"/>
      <c r="Q2401" t="inlineStr"/>
    </row>
    <row r="2402">
      <c r="A2402" t="inlineStr">
        <is>
          <t>dhruv.p</t>
        </is>
      </c>
      <c r="B2402" t="inlineStr">
        <is>
          <t>Dhruv Pahadia</t>
        </is>
      </c>
      <c r="C2402" t="inlineStr">
        <is>
          <t>dhruv.p@osmosys.co</t>
        </is>
      </c>
      <c r="D2402" t="inlineStr">
        <is>
          <t>incident-reporter</t>
        </is>
      </c>
      <c r="E2402">
        <f>HYPERLINK("http://gitlab.osmosys.co/incident-reporter/incident-reporter-app", "OQSHA Mobile App")</f>
        <v/>
      </c>
      <c r="F2402">
        <f>HYPERLINK("http://gitlab.osmosys.co/incident-reporter/incident-reporter-app/-/merge_requests/1769", "feat: update ptw closure to depend on enable-editing flags")</f>
        <v/>
      </c>
      <c r="G2402" t="inlineStr">
        <is>
          <t>feat/ptw-closure</t>
        </is>
      </c>
      <c r="H2402" t="inlineStr">
        <is>
          <t>sprint-16</t>
        </is>
      </c>
      <c r="I2402" t="inlineStr">
        <is>
          <t>merged</t>
        </is>
      </c>
      <c r="J2402" t="inlineStr"/>
      <c r="K2402" t="inlineStr"/>
      <c r="L2402" t="inlineStr"/>
      <c r="M2402" t="inlineStr"/>
      <c r="N2402" t="inlineStr"/>
      <c r="O2402" t="inlineStr"/>
      <c r="P2402" t="inlineStr"/>
      <c r="Q2402" t="inlineStr"/>
    </row>
    <row r="2403">
      <c r="A2403" t="inlineStr">
        <is>
          <t>dhruv.p</t>
        </is>
      </c>
      <c r="B2403" t="inlineStr">
        <is>
          <t>Dhruv Pahadia</t>
        </is>
      </c>
      <c r="C2403" t="inlineStr">
        <is>
          <t>dhruv.p@osmosys.co</t>
        </is>
      </c>
      <c r="D2403" t="inlineStr">
        <is>
          <t>incident-reporter</t>
        </is>
      </c>
      <c r="E2403">
        <f>HYPERLINK("http://gitlab.osmosys.co/incident-reporter/incident-reporter-app", "OQSHA Mobile App")</f>
        <v/>
      </c>
      <c r="F2403">
        <f>HYPERLINK("http://gitlab.osmosys.co/incident-reporter/incident-reporter-app/-/merge_requests/1765", "feat: ptw closure requestor name change")</f>
        <v/>
      </c>
      <c r="G2403" t="inlineStr">
        <is>
          <t>feat/ptw-closure-fix</t>
        </is>
      </c>
      <c r="H2403" t="inlineStr">
        <is>
          <t>sprint-16</t>
        </is>
      </c>
      <c r="I2403" t="inlineStr">
        <is>
          <t>closed</t>
        </is>
      </c>
      <c r="J2403" t="inlineStr">
        <is>
          <t>ebdb8d870fdd189c8bbc14e4a1d8996f3ab3f3c5</t>
        </is>
      </c>
      <c r="K2403">
        <f>HYPERLINK("http://gitlab.osmosys.co/incident-reporter/incident-reporter-app/-/merge_requests/1765#note_235536", "Remove this space")</f>
        <v/>
      </c>
      <c r="L2403" t="inlineStr">
        <is>
          <t>2025-07-11 19:56:52.456 IST</t>
        </is>
      </c>
      <c r="M2403" t="inlineStr">
        <is>
          <t>Soundariya B</t>
        </is>
      </c>
      <c r="N2403" t="inlineStr">
        <is>
          <t>Yes</t>
        </is>
      </c>
      <c r="O2403" t="inlineStr">
        <is>
          <t>Yes</t>
        </is>
      </c>
      <c r="P2403" t="inlineStr">
        <is>
          <t>Soundariya B</t>
        </is>
      </c>
      <c r="Q2403" t="inlineStr">
        <is>
          <t>Bad</t>
        </is>
      </c>
    </row>
    <row r="2404">
      <c r="A2404" t="inlineStr">
        <is>
          <t>dhruv.p</t>
        </is>
      </c>
      <c r="B2404" t="inlineStr">
        <is>
          <t>Dhruv Pahadia</t>
        </is>
      </c>
      <c r="C2404" t="inlineStr">
        <is>
          <t>dhruv.p@osmosys.co</t>
        </is>
      </c>
      <c r="D2404" t="inlineStr">
        <is>
          <t>incident-reporter</t>
        </is>
      </c>
      <c r="E2404">
        <f>HYPERLINK("http://gitlab.osmosys.co/incident-reporter/incident-reporter-app", "OQSHA Mobile App")</f>
        <v/>
      </c>
      <c r="F2404">
        <f>HYPERLINK("http://gitlab.osmosys.co/incident-reporter/incident-reporter-app/-/merge_requests/1765", "feat: ptw closure requestor name change")</f>
        <v/>
      </c>
      <c r="G2404" t="inlineStr">
        <is>
          <t>feat/ptw-closure-fix</t>
        </is>
      </c>
      <c r="H2404" t="inlineStr">
        <is>
          <t>sprint-16</t>
        </is>
      </c>
      <c r="I2404" t="inlineStr">
        <is>
          <t>closed</t>
        </is>
      </c>
      <c r="J2404" t="inlineStr">
        <is>
          <t>ebdb8d870fdd189c8bbc14e4a1d8996f3ab3f3c5</t>
        </is>
      </c>
      <c r="K2404">
        <f>HYPERLINK("http://gitlab.osmosys.co/incident-reporter/incident-reporter-app/-/merge_requests/1765#note_235571", "Fixed")</f>
        <v/>
      </c>
      <c r="L2404" t="inlineStr">
        <is>
          <t>2025-07-11 21:21:42.887 IST</t>
        </is>
      </c>
      <c r="M2404" t="inlineStr">
        <is>
          <t>Dhruv Pahadia</t>
        </is>
      </c>
      <c r="N2404" t="inlineStr">
        <is>
          <t>No</t>
        </is>
      </c>
      <c r="O2404" t="inlineStr">
        <is>
          <t>Yes</t>
        </is>
      </c>
      <c r="P2404" t="inlineStr">
        <is>
          <t>Soundariya B</t>
        </is>
      </c>
      <c r="Q2404" t="inlineStr">
        <is>
          <t>Bad</t>
        </is>
      </c>
    </row>
    <row r="2405">
      <c r="A2405" t="inlineStr">
        <is>
          <t>dhruv.p</t>
        </is>
      </c>
      <c r="B2405" t="inlineStr">
        <is>
          <t>Dhruv Pahadia</t>
        </is>
      </c>
      <c r="C2405" t="inlineStr">
        <is>
          <t>dhruv.p@osmosys.co</t>
        </is>
      </c>
      <c r="D2405" t="inlineStr">
        <is>
          <t>incident-reporter</t>
        </is>
      </c>
      <c r="E2405">
        <f>HYPERLINK("http://gitlab.osmosys.co/incident-reporter/incident-reporter-app", "OQSHA Mobile App")</f>
        <v/>
      </c>
      <c r="F2405">
        <f>HYPERLINK("http://gitlab.osmosys.co/incident-reporter/incident-reporter-app/-/merge_requests/1765", "feat: ptw closure requestor name change")</f>
        <v/>
      </c>
      <c r="G2405" t="inlineStr">
        <is>
          <t>feat/ptw-closure-fix</t>
        </is>
      </c>
      <c r="H2405" t="inlineStr">
        <is>
          <t>sprint-16</t>
        </is>
      </c>
      <c r="I2405" t="inlineStr">
        <is>
          <t>closed</t>
        </is>
      </c>
      <c r="J2405" t="inlineStr">
        <is>
          <t>e8ab5f9ceaa6ae4fc771deb36355542768d3b8a2</t>
        </is>
      </c>
      <c r="K2405">
        <f>HYPERLINK("http://gitlab.osmosys.co/incident-reporter/incident-reporter-app/-/merge_requests/1765#note_235537", "Remove console - I am not sure how linting is not throwing error for this and passed it")</f>
        <v/>
      </c>
      <c r="L2405" t="inlineStr">
        <is>
          <t>2025-07-11 19:56:52.534 IST</t>
        </is>
      </c>
      <c r="M2405" t="inlineStr">
        <is>
          <t>Soundariya B</t>
        </is>
      </c>
      <c r="N2405" t="inlineStr">
        <is>
          <t>Yes</t>
        </is>
      </c>
      <c r="O2405" t="inlineStr">
        <is>
          <t>Yes</t>
        </is>
      </c>
      <c r="P2405" t="inlineStr">
        <is>
          <t>Soundariya B</t>
        </is>
      </c>
      <c r="Q2405" t="inlineStr">
        <is>
          <t>Bad</t>
        </is>
      </c>
    </row>
    <row r="2406">
      <c r="A2406" t="inlineStr">
        <is>
          <t>dhruv.p</t>
        </is>
      </c>
      <c r="B2406" t="inlineStr">
        <is>
          <t>Dhruv Pahadia</t>
        </is>
      </c>
      <c r="C2406" t="inlineStr">
        <is>
          <t>dhruv.p@osmosys.co</t>
        </is>
      </c>
      <c r="D2406" t="inlineStr">
        <is>
          <t>incident-reporter</t>
        </is>
      </c>
      <c r="E2406">
        <f>HYPERLINK("http://gitlab.osmosys.co/incident-reporter/incident-reporter-app", "OQSHA Mobile App")</f>
        <v/>
      </c>
      <c r="F2406">
        <f>HYPERLINK("http://gitlab.osmosys.co/incident-reporter/incident-reporter-app/-/merge_requests/1765", "feat: ptw closure requestor name change")</f>
        <v/>
      </c>
      <c r="G2406" t="inlineStr">
        <is>
          <t>feat/ptw-closure-fix</t>
        </is>
      </c>
      <c r="H2406" t="inlineStr">
        <is>
          <t>sprint-16</t>
        </is>
      </c>
      <c r="I2406" t="inlineStr">
        <is>
          <t>closed</t>
        </is>
      </c>
      <c r="J2406" t="inlineStr">
        <is>
          <t>e8ab5f9ceaa6ae4fc771deb36355542768d3b8a2</t>
        </is>
      </c>
      <c r="K2406">
        <f>HYPERLINK("http://gitlab.osmosys.co/incident-reporter/incident-reporter-app/-/merge_requests/1765#note_235572", "removed")</f>
        <v/>
      </c>
      <c r="L2406" t="inlineStr">
        <is>
          <t>2025-07-11 21:21:48.324 IST</t>
        </is>
      </c>
      <c r="M2406" t="inlineStr">
        <is>
          <t>Dhruv Pahadia</t>
        </is>
      </c>
      <c r="N2406" t="inlineStr">
        <is>
          <t>No</t>
        </is>
      </c>
      <c r="O2406" t="inlineStr">
        <is>
          <t>Yes</t>
        </is>
      </c>
      <c r="P2406" t="inlineStr">
        <is>
          <t>Soundariya B</t>
        </is>
      </c>
      <c r="Q2406" t="inlineStr">
        <is>
          <t>Bad</t>
        </is>
      </c>
    </row>
    <row r="2407">
      <c r="A2407" t="inlineStr">
        <is>
          <t>dhruv.p</t>
        </is>
      </c>
      <c r="B2407" t="inlineStr">
        <is>
          <t>Dhruv Pahadia</t>
        </is>
      </c>
      <c r="C2407" t="inlineStr">
        <is>
          <t>dhruv.p@osmosys.co</t>
        </is>
      </c>
      <c r="D2407" t="inlineStr">
        <is>
          <t>incident-reporter</t>
        </is>
      </c>
      <c r="E2407">
        <f>HYPERLINK("http://gitlab.osmosys.co/incident-reporter/incident-reporter-app", "OQSHA Mobile App")</f>
        <v/>
      </c>
      <c r="F2407">
        <f>HYPERLINK("http://gitlab.osmosys.co/incident-reporter/incident-reporter-app/-/merge_requests/1765", "feat: ptw closure requestor name change")</f>
        <v/>
      </c>
      <c r="G2407" t="inlineStr">
        <is>
          <t>feat/ptw-closure-fix</t>
        </is>
      </c>
      <c r="H2407" t="inlineStr">
        <is>
          <t>sprint-16</t>
        </is>
      </c>
      <c r="I2407" t="inlineStr">
        <is>
          <t>closed</t>
        </is>
      </c>
      <c r="J2407" t="inlineStr">
        <is>
          <t>acf28d49847dbb4b45473f772cdb55e17b189eb2</t>
        </is>
      </c>
      <c r="K2407">
        <f>HYPERLINK("http://gitlab.osmosys.co/incident-reporter/incident-reporter-app/-/merge_requests/1765#note_236156", "Closed this PR as these changes are merged as part of a different PR.")</f>
        <v/>
      </c>
      <c r="L2407" t="inlineStr">
        <is>
          <t>2025-07-14 16:27:11.678 IST</t>
        </is>
      </c>
      <c r="M2407" t="inlineStr">
        <is>
          <t>Raj Kumar</t>
        </is>
      </c>
      <c r="N2407" t="inlineStr">
        <is>
          <t>Yes</t>
        </is>
      </c>
      <c r="O2407" t="inlineStr">
        <is>
          <t>No</t>
        </is>
      </c>
      <c r="P2407" t="inlineStr"/>
      <c r="Q2407" t="inlineStr">
        <is>
          <t>Neutral</t>
        </is>
      </c>
    </row>
    <row r="2408">
      <c r="A2408" t="inlineStr">
        <is>
          <t>dhruv.p</t>
        </is>
      </c>
      <c r="B2408" t="inlineStr">
        <is>
          <t>Dhruv Pahadia</t>
        </is>
      </c>
      <c r="C2408" t="inlineStr">
        <is>
          <t>dhruv.p@osmosys.co</t>
        </is>
      </c>
      <c r="D2408" t="inlineStr">
        <is>
          <t>incident-reporter</t>
        </is>
      </c>
      <c r="E2408">
        <f>HYPERLINK("http://gitlab.osmosys.co/incident-reporter/incident-reporter-app", "OQSHA Mobile App")</f>
        <v/>
      </c>
      <c r="F2408">
        <f>HYPERLINK("http://gitlab.osmosys.co/incident-reporter/incident-reporter-app/-/merge_requests/1764", "feat: convert oqsha to pwa and implement user registration")</f>
        <v/>
      </c>
      <c r="G2408" t="inlineStr">
        <is>
          <t>feat/qr-scan</t>
        </is>
      </c>
      <c r="H2408" t="inlineStr">
        <is>
          <t>sprint-17</t>
        </is>
      </c>
      <c r="I2408" t="inlineStr">
        <is>
          <t>closed</t>
        </is>
      </c>
      <c r="J2408" t="inlineStr"/>
      <c r="K2408" t="inlineStr"/>
      <c r="L2408" t="inlineStr"/>
      <c r="M2408" t="inlineStr"/>
      <c r="N2408" t="inlineStr"/>
      <c r="O2408" t="inlineStr"/>
      <c r="P2408" t="inlineStr"/>
      <c r="Q2408" t="inlineStr"/>
    </row>
    <row r="2409">
      <c r="A2409" t="inlineStr">
        <is>
          <t>dhruv.p</t>
        </is>
      </c>
      <c r="B2409" t="inlineStr">
        <is>
          <t>Dhruv Pahadia</t>
        </is>
      </c>
      <c r="C2409" t="inlineStr">
        <is>
          <t>dhruv.p@osmosys.co</t>
        </is>
      </c>
      <c r="D2409" t="inlineStr">
        <is>
          <t>incident-reporter</t>
        </is>
      </c>
      <c r="E2409">
        <f>HYPERLINK("http://gitlab.osmosys.co/incident-reporter/incident-reporter-app", "OQSHA Mobile App")</f>
        <v/>
      </c>
      <c r="F2409">
        <f>HYPERLINK("http://gitlab.osmosys.co/incident-reporter/incident-reporter-app/-/merge_requests/1753", "feat: allow conditions dependency on enable editing flags")</f>
        <v/>
      </c>
      <c r="G2409" t="inlineStr">
        <is>
          <t>feat/ptw-closure-request</t>
        </is>
      </c>
      <c r="H2409" t="inlineStr">
        <is>
          <t>sprint-17</t>
        </is>
      </c>
      <c r="I2409" t="inlineStr">
        <is>
          <t>merged</t>
        </is>
      </c>
      <c r="J2409" t="inlineStr">
        <is>
          <t>9040cbaa87bb1d361e2c3ed0b15a42be372c5f24</t>
        </is>
      </c>
      <c r="K2409">
        <f>HYPERLINK("http://gitlab.osmosys.co/incident-reporter/incident-reporter-app/-/merge_requests/1753#note_234489", "PR title is too big")</f>
        <v/>
      </c>
      <c r="L2409" t="inlineStr">
        <is>
          <t>2025-07-10 19:39:00.481 IST</t>
        </is>
      </c>
      <c r="M2409" t="inlineStr">
        <is>
          <t>Soundariya B</t>
        </is>
      </c>
      <c r="N2409" t="inlineStr">
        <is>
          <t>Yes</t>
        </is>
      </c>
      <c r="O2409" t="inlineStr">
        <is>
          <t>Yes</t>
        </is>
      </c>
      <c r="P2409" t="inlineStr">
        <is>
          <t>Soundariya B</t>
        </is>
      </c>
      <c r="Q2409" t="inlineStr">
        <is>
          <t>Bad</t>
        </is>
      </c>
    </row>
    <row r="2410">
      <c r="A2410" t="inlineStr">
        <is>
          <t>dhruv.p</t>
        </is>
      </c>
      <c r="B2410" t="inlineStr">
        <is>
          <t>Dhruv Pahadia</t>
        </is>
      </c>
      <c r="C2410" t="inlineStr">
        <is>
          <t>dhruv.p@osmosys.co</t>
        </is>
      </c>
      <c r="D2410" t="inlineStr">
        <is>
          <t>incident-reporter</t>
        </is>
      </c>
      <c r="E2410">
        <f>HYPERLINK("http://gitlab.osmosys.co/incident-reporter/incident-reporter-app", "OQSHA Mobile App")</f>
        <v/>
      </c>
      <c r="F2410">
        <f>HYPERLINK("http://gitlab.osmosys.co/incident-reporter/incident-reporter-app/-/merge_requests/1753", "feat: allow conditions dependency on enable editing flags")</f>
        <v/>
      </c>
      <c r="G2410" t="inlineStr">
        <is>
          <t>feat/ptw-closure-request</t>
        </is>
      </c>
      <c r="H2410" t="inlineStr">
        <is>
          <t>sprint-17</t>
        </is>
      </c>
      <c r="I2410" t="inlineStr">
        <is>
          <t>merged</t>
        </is>
      </c>
      <c r="J2410" t="inlineStr">
        <is>
          <t>9040cbaa87bb1d361e2c3ed0b15a42be372c5f24</t>
        </is>
      </c>
      <c r="K2410">
        <f>HYPERLINK("http://gitlab.osmosys.co/incident-reporter/incident-reporter-app/-/merge_requests/1753#note_234559", "shortened")</f>
        <v/>
      </c>
      <c r="L2410" t="inlineStr">
        <is>
          <t>2025-07-10 21:50:03.539 IST</t>
        </is>
      </c>
      <c r="M2410" t="inlineStr">
        <is>
          <t>Dhruv Pahadia</t>
        </is>
      </c>
      <c r="N2410" t="inlineStr">
        <is>
          <t>No</t>
        </is>
      </c>
      <c r="O2410" t="inlineStr">
        <is>
          <t>Yes</t>
        </is>
      </c>
      <c r="P2410" t="inlineStr">
        <is>
          <t>Soundariya B</t>
        </is>
      </c>
      <c r="Q2410" t="inlineStr">
        <is>
          <t>Bad</t>
        </is>
      </c>
    </row>
    <row r="2411">
      <c r="A2411" t="inlineStr">
        <is>
          <t>dhruv.p</t>
        </is>
      </c>
      <c r="B2411" t="inlineStr">
        <is>
          <t>Dhruv Pahadia</t>
        </is>
      </c>
      <c r="C2411" t="inlineStr">
        <is>
          <t>dhruv.p@osmosys.co</t>
        </is>
      </c>
      <c r="D2411" t="inlineStr">
        <is>
          <t>incident-reporter</t>
        </is>
      </c>
      <c r="E2411">
        <f>HYPERLINK("http://gitlab.osmosys.co/incident-reporter/incident-reporter-app", "OQSHA Mobile App")</f>
        <v/>
      </c>
      <c r="F2411">
        <f>HYPERLINK("http://gitlab.osmosys.co/incident-reporter/incident-reporter-app/-/merge_requests/1753", "feat: allow conditions dependency on enable editing flags")</f>
        <v/>
      </c>
      <c r="G2411" t="inlineStr">
        <is>
          <t>feat/ptw-closure-request</t>
        </is>
      </c>
      <c r="H2411" t="inlineStr">
        <is>
          <t>sprint-17</t>
        </is>
      </c>
      <c r="I2411" t="inlineStr">
        <is>
          <t>merged</t>
        </is>
      </c>
      <c r="J2411" t="inlineStr">
        <is>
          <t>f3420481bcf174b6497fbb2fb157530a856eece7</t>
        </is>
      </c>
      <c r="K2411">
        <f>HYPERLINK("http://gitlab.osmosys.co/incident-reporter/incident-reporter-app/-/merge_requests/1753#note_234490", "Declare the data type")</f>
        <v/>
      </c>
      <c r="L2411" t="inlineStr">
        <is>
          <t>2025-07-10 19:39:00.550 IST</t>
        </is>
      </c>
      <c r="M2411" t="inlineStr">
        <is>
          <t>Soundariya B</t>
        </is>
      </c>
      <c r="N2411" t="inlineStr">
        <is>
          <t>Yes</t>
        </is>
      </c>
      <c r="O2411" t="inlineStr">
        <is>
          <t>Yes</t>
        </is>
      </c>
      <c r="P2411" t="inlineStr">
        <is>
          <t>Soundariya B</t>
        </is>
      </c>
      <c r="Q2411" t="inlineStr">
        <is>
          <t>Bad</t>
        </is>
      </c>
    </row>
    <row r="2412">
      <c r="A2412" t="inlineStr">
        <is>
          <t>dhruv.p</t>
        </is>
      </c>
      <c r="B2412" t="inlineStr">
        <is>
          <t>Dhruv Pahadia</t>
        </is>
      </c>
      <c r="C2412" t="inlineStr">
        <is>
          <t>dhruv.p@osmosys.co</t>
        </is>
      </c>
      <c r="D2412" t="inlineStr">
        <is>
          <t>incident-reporter</t>
        </is>
      </c>
      <c r="E2412">
        <f>HYPERLINK("http://gitlab.osmosys.co/incident-reporter/incident-reporter-app", "OQSHA Mobile App")</f>
        <v/>
      </c>
      <c r="F2412">
        <f>HYPERLINK("http://gitlab.osmosys.co/incident-reporter/incident-reporter-app/-/merge_requests/1753", "feat: allow conditions dependency on enable editing flags")</f>
        <v/>
      </c>
      <c r="G2412" t="inlineStr">
        <is>
          <t>feat/ptw-closure-request</t>
        </is>
      </c>
      <c r="H2412" t="inlineStr">
        <is>
          <t>sprint-17</t>
        </is>
      </c>
      <c r="I2412" t="inlineStr">
        <is>
          <t>merged</t>
        </is>
      </c>
      <c r="J2412" t="inlineStr">
        <is>
          <t>f3420481bcf174b6497fbb2fb157530a856eece7</t>
        </is>
      </c>
      <c r="K2412">
        <f>HYPERLINK("http://gitlab.osmosys.co/incident-reporter/incident-reporter-app/-/merge_requests/1753#note_234535", "fixed")</f>
        <v/>
      </c>
      <c r="L2412" t="inlineStr">
        <is>
          <t>2025-07-10 20:58:47.982 IST</t>
        </is>
      </c>
      <c r="M2412" t="inlineStr">
        <is>
          <t>Dhruv Pahadia</t>
        </is>
      </c>
      <c r="N2412" t="inlineStr">
        <is>
          <t>No</t>
        </is>
      </c>
      <c r="O2412" t="inlineStr">
        <is>
          <t>Yes</t>
        </is>
      </c>
      <c r="P2412" t="inlineStr">
        <is>
          <t>Soundariya B</t>
        </is>
      </c>
      <c r="Q2412" t="inlineStr">
        <is>
          <t>Bad</t>
        </is>
      </c>
    </row>
    <row r="2413">
      <c r="A2413" t="inlineStr">
        <is>
          <t>dhruv.p</t>
        </is>
      </c>
      <c r="B2413" t="inlineStr">
        <is>
          <t>Dhruv Pahadia</t>
        </is>
      </c>
      <c r="C2413" t="inlineStr">
        <is>
          <t>dhruv.p@osmosys.co</t>
        </is>
      </c>
      <c r="D2413" t="inlineStr">
        <is>
          <t>incident-reporter</t>
        </is>
      </c>
      <c r="E2413">
        <f>HYPERLINK("http://gitlab.osmosys.co/incident-reporter/incident-reporter-app", "OQSHA Mobile App")</f>
        <v/>
      </c>
      <c r="F2413">
        <f>HYPERLINK("http://gitlab.osmosys.co/incident-reporter/incident-reporter-app/-/merge_requests/1753", "feat: allow conditions dependency on enable editing flags")</f>
        <v/>
      </c>
      <c r="G2413" t="inlineStr">
        <is>
          <t>feat/ptw-closure-request</t>
        </is>
      </c>
      <c r="H2413" t="inlineStr">
        <is>
          <t>sprint-17</t>
        </is>
      </c>
      <c r="I2413" t="inlineStr">
        <is>
          <t>merged</t>
        </is>
      </c>
      <c r="J2413" t="inlineStr">
        <is>
          <t>65e3ece83ec67a08f83cc5bda8a993f59de530ca</t>
        </is>
      </c>
      <c r="K2413">
        <f>HYPERLINK("http://gitlab.osmosys.co/incident-reporter/incident-reporter-app/-/merge_requests/1753#note_234491", "Get this from constant or lang file based on the usage")</f>
        <v/>
      </c>
      <c r="L2413" t="inlineStr">
        <is>
          <t>2025-07-10 19:39:00.606 IST</t>
        </is>
      </c>
      <c r="M2413" t="inlineStr">
        <is>
          <t>Soundariya B</t>
        </is>
      </c>
      <c r="N2413" t="inlineStr">
        <is>
          <t>Yes</t>
        </is>
      </c>
      <c r="O2413" t="inlineStr">
        <is>
          <t>Yes</t>
        </is>
      </c>
      <c r="P2413" t="inlineStr">
        <is>
          <t>Soundariya B</t>
        </is>
      </c>
      <c r="Q2413" t="inlineStr">
        <is>
          <t>Bad</t>
        </is>
      </c>
    </row>
    <row r="2414">
      <c r="A2414" t="inlineStr">
        <is>
          <t>dhruv.p</t>
        </is>
      </c>
      <c r="B2414" t="inlineStr">
        <is>
          <t>Dhruv Pahadia</t>
        </is>
      </c>
      <c r="C2414" t="inlineStr">
        <is>
          <t>dhruv.p@osmosys.co</t>
        </is>
      </c>
      <c r="D2414" t="inlineStr">
        <is>
          <t>incident-reporter</t>
        </is>
      </c>
      <c r="E2414">
        <f>HYPERLINK("http://gitlab.osmosys.co/incident-reporter/incident-reporter-app", "OQSHA Mobile App")</f>
        <v/>
      </c>
      <c r="F2414">
        <f>HYPERLINK("http://gitlab.osmosys.co/incident-reporter/incident-reporter-app/-/merge_requests/1753", "feat: allow conditions dependency on enable editing flags")</f>
        <v/>
      </c>
      <c r="G2414" t="inlineStr">
        <is>
          <t>feat/ptw-closure-request</t>
        </is>
      </c>
      <c r="H2414" t="inlineStr">
        <is>
          <t>sprint-17</t>
        </is>
      </c>
      <c r="I2414" t="inlineStr">
        <is>
          <t>merged</t>
        </is>
      </c>
      <c r="J2414" t="inlineStr">
        <is>
          <t>65e3ece83ec67a08f83cc5bda8a993f59de530ca</t>
        </is>
      </c>
      <c r="K2414">
        <f>HYPERLINK("http://gitlab.osmosys.co/incident-reporter/incident-reporter-app/-/merge_requests/1753#note_234536", "Fixed")</f>
        <v/>
      </c>
      <c r="L2414" t="inlineStr">
        <is>
          <t>2025-07-10 20:59:29.327 IST</t>
        </is>
      </c>
      <c r="M2414" t="inlineStr">
        <is>
          <t>Dhruv Pahadia</t>
        </is>
      </c>
      <c r="N2414" t="inlineStr">
        <is>
          <t>No</t>
        </is>
      </c>
      <c r="O2414" t="inlineStr">
        <is>
          <t>Yes</t>
        </is>
      </c>
      <c r="P2414" t="inlineStr">
        <is>
          <t>Soundariya B</t>
        </is>
      </c>
      <c r="Q2414" t="inlineStr">
        <is>
          <t>Bad</t>
        </is>
      </c>
    </row>
    <row r="2415">
      <c r="A2415" t="inlineStr">
        <is>
          <t>dhruv.p</t>
        </is>
      </c>
      <c r="B2415" t="inlineStr">
        <is>
          <t>Dhruv Pahadia</t>
        </is>
      </c>
      <c r="C2415" t="inlineStr">
        <is>
          <t>dhruv.p@osmosys.co</t>
        </is>
      </c>
      <c r="D2415" t="inlineStr">
        <is>
          <t>incident-reporter</t>
        </is>
      </c>
      <c r="E2415">
        <f>HYPERLINK("http://gitlab.osmosys.co/incident-reporter/incident-reporter-app", "OQSHA Mobile App")</f>
        <v/>
      </c>
      <c r="F2415">
        <f>HYPERLINK("http://gitlab.osmosys.co/incident-reporter/incident-reporter-app/-/merge_requests/1753", "feat: allow conditions dependency on enable editing flags")</f>
        <v/>
      </c>
      <c r="G2415" t="inlineStr">
        <is>
          <t>feat/ptw-closure-request</t>
        </is>
      </c>
      <c r="H2415" t="inlineStr">
        <is>
          <t>sprint-17</t>
        </is>
      </c>
      <c r="I2415" t="inlineStr">
        <is>
          <t>merged</t>
        </is>
      </c>
      <c r="J2415" t="inlineStr">
        <is>
          <t>e1e52d1410abfdc7d61926ec8124859044630561</t>
        </is>
      </c>
      <c r="K2415">
        <f>HYPERLINK("http://gitlab.osmosys.co/incident-reporter/incident-reporter-app/-/merge_requests/1753#note_234492", "I think this condition should be not equal to comparison as per remove condition in html")</f>
        <v/>
      </c>
      <c r="L2415" t="inlineStr">
        <is>
          <t>2025-07-10 19:39:00.658 IST</t>
        </is>
      </c>
      <c r="M2415" t="inlineStr">
        <is>
          <t>Soundariya B</t>
        </is>
      </c>
      <c r="N2415" t="inlineStr">
        <is>
          <t>Yes</t>
        </is>
      </c>
      <c r="O2415" t="inlineStr">
        <is>
          <t>Yes</t>
        </is>
      </c>
      <c r="P2415" t="inlineStr">
        <is>
          <t>Soundariya B</t>
        </is>
      </c>
      <c r="Q2415" t="inlineStr">
        <is>
          <t>Neutral</t>
        </is>
      </c>
    </row>
    <row r="2416">
      <c r="A2416" t="inlineStr">
        <is>
          <t>dhruv.p</t>
        </is>
      </c>
      <c r="B2416" t="inlineStr">
        <is>
          <t>Dhruv Pahadia</t>
        </is>
      </c>
      <c r="C2416" t="inlineStr">
        <is>
          <t>dhruv.p@osmosys.co</t>
        </is>
      </c>
      <c r="D2416" t="inlineStr">
        <is>
          <t>incident-reporter</t>
        </is>
      </c>
      <c r="E2416">
        <f>HYPERLINK("http://gitlab.osmosys.co/incident-reporter/incident-reporter-app", "OQSHA Mobile App")</f>
        <v/>
      </c>
      <c r="F2416">
        <f>HYPERLINK("http://gitlab.osmosys.co/incident-reporter/incident-reporter-app/-/merge_requests/1753", "feat: allow conditions dependency on enable editing flags")</f>
        <v/>
      </c>
      <c r="G2416" t="inlineStr">
        <is>
          <t>feat/ptw-closure-request</t>
        </is>
      </c>
      <c r="H2416" t="inlineStr">
        <is>
          <t>sprint-17</t>
        </is>
      </c>
      <c r="I2416" t="inlineStr">
        <is>
          <t>merged</t>
        </is>
      </c>
      <c r="J2416" t="inlineStr">
        <is>
          <t>e1e52d1410abfdc7d61926ec8124859044630561</t>
        </is>
      </c>
      <c r="K2416">
        <f>HYPERLINK("http://gitlab.osmosys.co/incident-reporter/incident-reporter-app/-/merge_requests/1753#note_234534", "I am using '!' in the HTML so the condition is supposed to be this way.")</f>
        <v/>
      </c>
      <c r="L2416" t="inlineStr">
        <is>
          <t>2025-07-10 20:58:13.492 IST</t>
        </is>
      </c>
      <c r="M2416" t="inlineStr">
        <is>
          <t>Dhruv Pahadia</t>
        </is>
      </c>
      <c r="N2416" t="inlineStr">
        <is>
          <t>No</t>
        </is>
      </c>
      <c r="O2416" t="inlineStr">
        <is>
          <t>Yes</t>
        </is>
      </c>
      <c r="P2416" t="inlineStr">
        <is>
          <t>Soundariya B</t>
        </is>
      </c>
      <c r="Q2416" t="inlineStr">
        <is>
          <t>Neutral</t>
        </is>
      </c>
    </row>
    <row r="2417">
      <c r="A2417" t="inlineStr">
        <is>
          <t>dhruv.p</t>
        </is>
      </c>
      <c r="B2417" t="inlineStr">
        <is>
          <t>Dhruv Pahadia</t>
        </is>
      </c>
      <c r="C2417" t="inlineStr">
        <is>
          <t>dhruv.p@osmosys.co</t>
        </is>
      </c>
      <c r="D2417" t="inlineStr">
        <is>
          <t>incident-reporter</t>
        </is>
      </c>
      <c r="E2417">
        <f>HYPERLINK("http://gitlab.osmosys.co/incident-reporter/incident-reporter-app", "OQSHA Mobile App")</f>
        <v/>
      </c>
      <c r="F2417">
        <f>HYPERLINK("http://gitlab.osmosys.co/incident-reporter/incident-reporter-app/-/merge_requests/1753", "feat: allow conditions dependency on enable editing flags")</f>
        <v/>
      </c>
      <c r="G2417" t="inlineStr">
        <is>
          <t>feat/ptw-closure-request</t>
        </is>
      </c>
      <c r="H2417" t="inlineStr">
        <is>
          <t>sprint-17</t>
        </is>
      </c>
      <c r="I2417" t="inlineStr">
        <is>
          <t>merged</t>
        </is>
      </c>
      <c r="J2417" t="inlineStr">
        <is>
          <t>6a385e57cc0c660473affe3de6682ba7e1b1a552</t>
        </is>
      </c>
      <c r="K2417">
        <f>HYPERLINK("http://gitlab.osmosys.co/incident-reporter/incident-reporter-app/-/merge_requests/1753#note_234493", "If there are two user type then this block can be add in else block")</f>
        <v/>
      </c>
      <c r="L2417" t="inlineStr">
        <is>
          <t>2025-07-10 19:39:00.713 IST</t>
        </is>
      </c>
      <c r="M2417" t="inlineStr">
        <is>
          <t>Soundariya B</t>
        </is>
      </c>
      <c r="N2417" t="inlineStr">
        <is>
          <t>Yes</t>
        </is>
      </c>
      <c r="O2417" t="inlineStr">
        <is>
          <t>Yes</t>
        </is>
      </c>
      <c r="P2417" t="inlineStr">
        <is>
          <t>Soundariya B</t>
        </is>
      </c>
      <c r="Q2417" t="inlineStr">
        <is>
          <t>Neutral</t>
        </is>
      </c>
    </row>
    <row r="2418">
      <c r="A2418" t="inlineStr">
        <is>
          <t>dhruv.p</t>
        </is>
      </c>
      <c r="B2418" t="inlineStr">
        <is>
          <t>Dhruv Pahadia</t>
        </is>
      </c>
      <c r="C2418" t="inlineStr">
        <is>
          <t>dhruv.p@osmosys.co</t>
        </is>
      </c>
      <c r="D2418" t="inlineStr">
        <is>
          <t>incident-reporter</t>
        </is>
      </c>
      <c r="E2418">
        <f>HYPERLINK("http://gitlab.osmosys.co/incident-reporter/incident-reporter-app", "OQSHA Mobile App")</f>
        <v/>
      </c>
      <c r="F2418">
        <f>HYPERLINK("http://gitlab.osmosys.co/incident-reporter/incident-reporter-app/-/merge_requests/1753", "feat: allow conditions dependency on enable editing flags")</f>
        <v/>
      </c>
      <c r="G2418" t="inlineStr">
        <is>
          <t>feat/ptw-closure-request</t>
        </is>
      </c>
      <c r="H2418" t="inlineStr">
        <is>
          <t>sprint-17</t>
        </is>
      </c>
      <c r="I2418" t="inlineStr">
        <is>
          <t>merged</t>
        </is>
      </c>
      <c r="J2418" t="inlineStr">
        <is>
          <t>6a385e57cc0c660473affe3de6682ba7e1b1a552</t>
        </is>
      </c>
      <c r="K2418">
        <f>HYPERLINK("http://gitlab.osmosys.co/incident-reporter/incident-reporter-app/-/merge_requests/1753#note_234532", "But there is also this "this.allowToDefaultCompany" flag which is required to be true. This condition is readable and is working fine.")</f>
        <v/>
      </c>
      <c r="L2418" t="inlineStr">
        <is>
          <t>2025-07-10 20:55:47.413 IST</t>
        </is>
      </c>
      <c r="M2418" t="inlineStr">
        <is>
          <t>Dhruv Pahadia</t>
        </is>
      </c>
      <c r="N2418" t="inlineStr">
        <is>
          <t>No</t>
        </is>
      </c>
      <c r="O2418" t="inlineStr">
        <is>
          <t>Yes</t>
        </is>
      </c>
      <c r="P2418" t="inlineStr">
        <is>
          <t>Soundariya B</t>
        </is>
      </c>
      <c r="Q2418" t="inlineStr">
        <is>
          <t>Neutral</t>
        </is>
      </c>
    </row>
    <row r="2419">
      <c r="A2419" t="inlineStr">
        <is>
          <t>dhruv.p</t>
        </is>
      </c>
      <c r="B2419" t="inlineStr">
        <is>
          <t>Dhruv Pahadia</t>
        </is>
      </c>
      <c r="C2419" t="inlineStr">
        <is>
          <t>dhruv.p@osmosys.co</t>
        </is>
      </c>
      <c r="D2419" t="inlineStr">
        <is>
          <t>incident-reporter</t>
        </is>
      </c>
      <c r="E2419">
        <f>HYPERLINK("http://gitlab.osmosys.co/incident-reporter/incident-reporter-app", "OQSHA Mobile App")</f>
        <v/>
      </c>
      <c r="F2419">
        <f>HYPERLINK("http://gitlab.osmosys.co/incident-reporter/incident-reporter-app/-/merge_requests/1753", "feat: allow conditions dependency on enable editing flags")</f>
        <v/>
      </c>
      <c r="G2419" t="inlineStr">
        <is>
          <t>feat/ptw-closure-request</t>
        </is>
      </c>
      <c r="H2419" t="inlineStr">
        <is>
          <t>sprint-17</t>
        </is>
      </c>
      <c r="I2419" t="inlineStr">
        <is>
          <t>merged</t>
        </is>
      </c>
      <c r="J2419" t="inlineStr">
        <is>
          <t>c93a382e096dbc92fa5c74b94dd373bf6b3bc397</t>
        </is>
      </c>
      <c r="K2419">
        <f>HYPERLINK("http://gitlab.osmosys.co/incident-reporter/incident-reporter-app/-/merge_requests/1753#note_234494", "this instance is not required here")</f>
        <v/>
      </c>
      <c r="L2419" t="inlineStr">
        <is>
          <t>2025-07-10 19:39:00.787 IST</t>
        </is>
      </c>
      <c r="M2419" t="inlineStr">
        <is>
          <t>Soundariya B</t>
        </is>
      </c>
      <c r="N2419" t="inlineStr">
        <is>
          <t>Yes</t>
        </is>
      </c>
      <c r="O2419" t="inlineStr">
        <is>
          <t>Yes</t>
        </is>
      </c>
      <c r="P2419" t="inlineStr">
        <is>
          <t>Soundariya B</t>
        </is>
      </c>
      <c r="Q2419" t="inlineStr">
        <is>
          <t>Neutral</t>
        </is>
      </c>
    </row>
    <row r="2420">
      <c r="A2420" t="inlineStr">
        <is>
          <t>dhruv.p</t>
        </is>
      </c>
      <c r="B2420" t="inlineStr">
        <is>
          <t>Dhruv Pahadia</t>
        </is>
      </c>
      <c r="C2420" t="inlineStr">
        <is>
          <t>dhruv.p@osmosys.co</t>
        </is>
      </c>
      <c r="D2420" t="inlineStr">
        <is>
          <t>incident-reporter</t>
        </is>
      </c>
      <c r="E2420">
        <f>HYPERLINK("http://gitlab.osmosys.co/incident-reporter/incident-reporter-app", "OQSHA Mobile App")</f>
        <v/>
      </c>
      <c r="F2420">
        <f>HYPERLINK("http://gitlab.osmosys.co/incident-reporter/incident-reporter-app/-/merge_requests/1753", "feat: allow conditions dependency on enable editing flags")</f>
        <v/>
      </c>
      <c r="G2420" t="inlineStr">
        <is>
          <t>feat/ptw-closure-request</t>
        </is>
      </c>
      <c r="H2420" t="inlineStr">
        <is>
          <t>sprint-17</t>
        </is>
      </c>
      <c r="I2420" t="inlineStr">
        <is>
          <t>merged</t>
        </is>
      </c>
      <c r="J2420" t="inlineStr">
        <is>
          <t>c93a382e096dbc92fa5c74b94dd373bf6b3bc397</t>
        </is>
      </c>
      <c r="K2420">
        <f>HYPERLINK("http://gitlab.osmosys.co/incident-reporter/incident-reporter-app/-/merge_requests/1753#note_234531", "![image](/uploads/fe90e7cb05c0636b5635496b8088acad/image.png)
It is used in the code")</f>
        <v/>
      </c>
      <c r="L2420" t="inlineStr">
        <is>
          <t>2025-07-10 20:49:36.766 IST</t>
        </is>
      </c>
      <c r="M2420" t="inlineStr">
        <is>
          <t>Dhruv Pahadia</t>
        </is>
      </c>
      <c r="N2420" t="inlineStr">
        <is>
          <t>No</t>
        </is>
      </c>
      <c r="O2420" t="inlineStr">
        <is>
          <t>Yes</t>
        </is>
      </c>
      <c r="P2420" t="inlineStr">
        <is>
          <t>Soundariya B</t>
        </is>
      </c>
      <c r="Q2420" t="inlineStr">
        <is>
          <t>Neutral</t>
        </is>
      </c>
    </row>
    <row r="2421">
      <c r="A2421" t="inlineStr">
        <is>
          <t>dhruv.p</t>
        </is>
      </c>
      <c r="B2421" t="inlineStr">
        <is>
          <t>Dhruv Pahadia</t>
        </is>
      </c>
      <c r="C2421" t="inlineStr">
        <is>
          <t>dhruv.p@osmosys.co</t>
        </is>
      </c>
      <c r="D2421" t="inlineStr">
        <is>
          <t>incident-reporter</t>
        </is>
      </c>
      <c r="E2421">
        <f>HYPERLINK("http://gitlab.osmosys.co/incident-reporter/incident-reporter-app", "OQSHA Mobile App")</f>
        <v/>
      </c>
      <c r="F2421">
        <f>HYPERLINK("http://gitlab.osmosys.co/incident-reporter/incident-reporter-app/-/merge_requests/1747", "feat: remove key dependency from 'USER_DETAILS_BY_ORG'")</f>
        <v/>
      </c>
      <c r="G2421" t="inlineStr">
        <is>
          <t>feat/remove-key-dependency</t>
        </is>
      </c>
      <c r="H2421" t="inlineStr">
        <is>
          <t>sprint-17</t>
        </is>
      </c>
      <c r="I2421" t="inlineStr">
        <is>
          <t>merged</t>
        </is>
      </c>
      <c r="J2421" t="inlineStr"/>
      <c r="K2421" t="inlineStr"/>
      <c r="L2421" t="inlineStr"/>
      <c r="M2421" t="inlineStr"/>
      <c r="N2421" t="inlineStr"/>
      <c r="O2421" t="inlineStr"/>
      <c r="P2421" t="inlineStr"/>
      <c r="Q2421" t="inlineStr"/>
    </row>
    <row r="2422">
      <c r="A2422" t="inlineStr">
        <is>
          <t>dhruv.p</t>
        </is>
      </c>
      <c r="B2422" t="inlineStr">
        <is>
          <t>Dhruv Pahadia</t>
        </is>
      </c>
      <c r="C2422" t="inlineStr">
        <is>
          <t>dhruv.p@osmosys.co</t>
        </is>
      </c>
      <c r="D2422" t="inlineStr">
        <is>
          <t>incident-reporter</t>
        </is>
      </c>
      <c r="E2422">
        <f>HYPERLINK("http://gitlab.osmosys.co/incident-reporter/incident-reporter-app", "OQSHA Mobile App")</f>
        <v/>
      </c>
      <c r="F2422">
        <f>HYPERLINK("http://gitlab.osmosys.co/incident-reporter/incident-reporter-app/-/merge_requests/1745", "fix: fix geo location not allowing valid users")</f>
        <v/>
      </c>
      <c r="G2422" t="inlineStr">
        <is>
          <t>fix/geo-location</t>
        </is>
      </c>
      <c r="H2422" t="inlineStr">
        <is>
          <t>sprint-17</t>
        </is>
      </c>
      <c r="I2422" t="inlineStr">
        <is>
          <t>merged</t>
        </is>
      </c>
      <c r="J2422" t="inlineStr"/>
      <c r="K2422" t="inlineStr"/>
      <c r="L2422" t="inlineStr"/>
      <c r="M2422" t="inlineStr"/>
      <c r="N2422" t="inlineStr"/>
      <c r="O2422" t="inlineStr"/>
      <c r="P2422" t="inlineStr"/>
      <c r="Q2422" t="inlineStr"/>
    </row>
    <row r="2423">
      <c r="A2423" t="inlineStr">
        <is>
          <t>dhruv.p</t>
        </is>
      </c>
      <c r="B2423" t="inlineStr">
        <is>
          <t>Dhruv Pahadia</t>
        </is>
      </c>
      <c r="C2423" t="inlineStr">
        <is>
          <t>dhruv.p@osmosys.co</t>
        </is>
      </c>
      <c r="D2423" t="inlineStr">
        <is>
          <t>incident-reporter</t>
        </is>
      </c>
      <c r="E2423">
        <f>HYPERLINK("http://gitlab.osmosys.co/incident-reporter/incident-reporter-app", "OQSHA Mobile App")</f>
        <v/>
      </c>
      <c r="F2423">
        <f>HYPERLINK("http://gitlab.osmosys.co/incident-reporter/incident-reporter-app/-/merge_requests/1737", "fix: fix user type fetching in job extension component")</f>
        <v/>
      </c>
      <c r="G2423" t="inlineStr">
        <is>
          <t>fix/usertype-fetch</t>
        </is>
      </c>
      <c r="H2423" t="inlineStr">
        <is>
          <t>sprint-16</t>
        </is>
      </c>
      <c r="I2423" t="inlineStr">
        <is>
          <t>merged</t>
        </is>
      </c>
      <c r="J2423" t="inlineStr">
        <is>
          <t>b885367af9833f443567a938b9fa3ae3d7dd3050</t>
        </is>
      </c>
      <c r="K2423">
        <f>HYPERLINK("http://gitlab.osmosys.co/incident-reporter/incident-reporter-app/-/merge_requests/1737#note_231583", "What found? Please use this - isOrgFound
And why here you are doing like this \[id\]?")</f>
        <v/>
      </c>
      <c r="L2423" t="inlineStr">
        <is>
          <t>2025-07-03 13:58:52.331 IST</t>
        </is>
      </c>
      <c r="M2423" t="inlineStr">
        <is>
          <t>Soundariya B</t>
        </is>
      </c>
      <c r="N2423" t="inlineStr">
        <is>
          <t>Yes</t>
        </is>
      </c>
      <c r="O2423" t="inlineStr">
        <is>
          <t>Yes</t>
        </is>
      </c>
      <c r="P2423" t="inlineStr">
        <is>
          <t>Soundariya B</t>
        </is>
      </c>
      <c r="Q2423" t="inlineStr">
        <is>
          <t>Bad</t>
        </is>
      </c>
    </row>
    <row r="2424">
      <c r="A2424" t="inlineStr">
        <is>
          <t>dhruv.p</t>
        </is>
      </c>
      <c r="B2424" t="inlineStr">
        <is>
          <t>Dhruv Pahadia</t>
        </is>
      </c>
      <c r="C2424" t="inlineStr">
        <is>
          <t>dhruv.p@osmosys.co</t>
        </is>
      </c>
      <c r="D2424" t="inlineStr">
        <is>
          <t>incident-reporter</t>
        </is>
      </c>
      <c r="E2424">
        <f>HYPERLINK("http://gitlab.osmosys.co/incident-reporter/incident-reporter-app", "OQSHA Mobile App")</f>
        <v/>
      </c>
      <c r="F2424">
        <f>HYPERLINK("http://gitlab.osmosys.co/incident-reporter/incident-reporter-app/-/merge_requests/1737", "fix: fix user type fetching in job extension component")</f>
        <v/>
      </c>
      <c r="G2424" t="inlineStr">
        <is>
          <t>fix/usertype-fetch</t>
        </is>
      </c>
      <c r="H2424" t="inlineStr">
        <is>
          <t>sprint-16</t>
        </is>
      </c>
      <c r="I2424" t="inlineStr">
        <is>
          <t>merged</t>
        </is>
      </c>
      <c r="J2424" t="inlineStr">
        <is>
          <t>b885367af9833f443567a938b9fa3ae3d7dd3050</t>
        </is>
      </c>
      <c r="K2424">
        <f>HYPERLINK("http://gitlab.osmosys.co/incident-reporter/incident-reporter-app/-/merge_requests/1737#note_231601", "I am marking them as resolved since it's a blocker for release &amp; confirmed with Raj")</f>
        <v/>
      </c>
      <c r="L2424" t="inlineStr">
        <is>
          <t>2025-07-03 14:03:40.227 IST</t>
        </is>
      </c>
      <c r="M2424" t="inlineStr">
        <is>
          <t>Soundariya B</t>
        </is>
      </c>
      <c r="N2424" t="inlineStr">
        <is>
          <t>Yes</t>
        </is>
      </c>
      <c r="O2424" t="inlineStr">
        <is>
          <t>Yes</t>
        </is>
      </c>
      <c r="P2424" t="inlineStr">
        <is>
          <t>Soundariya B</t>
        </is>
      </c>
      <c r="Q2424" t="inlineStr">
        <is>
          <t>Bad</t>
        </is>
      </c>
    </row>
    <row r="2425">
      <c r="A2425" t="inlineStr">
        <is>
          <t>dhruv.p</t>
        </is>
      </c>
      <c r="B2425" t="inlineStr">
        <is>
          <t>Dhruv Pahadia</t>
        </is>
      </c>
      <c r="C2425" t="inlineStr">
        <is>
          <t>dhruv.p@osmosys.co</t>
        </is>
      </c>
      <c r="D2425" t="inlineStr">
        <is>
          <t>incident-reporter</t>
        </is>
      </c>
      <c r="E2425">
        <f>HYPERLINK("http://gitlab.osmosys.co/incident-reporter/incident-reporter-app", "OQSHA Mobile App")</f>
        <v/>
      </c>
      <c r="F2425">
        <f>HYPERLINK("http://gitlab.osmosys.co/incident-reporter/incident-reporter-app/-/merge_requests/1737", "fix: fix user type fetching in job extension component")</f>
        <v/>
      </c>
      <c r="G2425" t="inlineStr">
        <is>
          <t>fix/usertype-fetch</t>
        </is>
      </c>
      <c r="H2425" t="inlineStr">
        <is>
          <t>sprint-16</t>
        </is>
      </c>
      <c r="I2425" t="inlineStr">
        <is>
          <t>merged</t>
        </is>
      </c>
      <c r="J2425" t="inlineStr">
        <is>
          <t>a47dd665186ce206cb016e986a928d31e08db51c</t>
        </is>
      </c>
      <c r="K2425">
        <f>HYPERLINK("http://gitlab.osmosys.co/incident-reporter/incident-reporter-app/-/merge_requests/1737#note_231584", "Get user type from constant file - which already using")</f>
        <v/>
      </c>
      <c r="L2425" t="inlineStr">
        <is>
          <t>2025-07-03 13:58:52.397 IST</t>
        </is>
      </c>
      <c r="M2425" t="inlineStr">
        <is>
          <t>Soundariya B</t>
        </is>
      </c>
      <c r="N2425" t="inlineStr">
        <is>
          <t>Yes</t>
        </is>
      </c>
      <c r="O2425" t="inlineStr">
        <is>
          <t>Yes</t>
        </is>
      </c>
      <c r="P2425" t="inlineStr">
        <is>
          <t>Soundariya B</t>
        </is>
      </c>
      <c r="Q2425" t="inlineStr">
        <is>
          <t>Bad</t>
        </is>
      </c>
    </row>
    <row r="2426">
      <c r="A2426" t="inlineStr">
        <is>
          <t>dhruv.p</t>
        </is>
      </c>
      <c r="B2426" t="inlineStr">
        <is>
          <t>Dhruv Pahadia</t>
        </is>
      </c>
      <c r="C2426" t="inlineStr">
        <is>
          <t>dhruv.p@osmosys.co</t>
        </is>
      </c>
      <c r="D2426" t="inlineStr">
        <is>
          <t>incident-reporter</t>
        </is>
      </c>
      <c r="E2426">
        <f>HYPERLINK("http://gitlab.osmosys.co/incident-reporter/incident-reporter-app", "OQSHA Mobile App")</f>
        <v/>
      </c>
      <c r="F2426">
        <f>HYPERLINK("http://gitlab.osmosys.co/incident-reporter/incident-reporter-app/-/merge_requests/1737", "fix: fix user type fetching in job extension component")</f>
        <v/>
      </c>
      <c r="G2426" t="inlineStr">
        <is>
          <t>fix/usertype-fetch</t>
        </is>
      </c>
      <c r="H2426" t="inlineStr">
        <is>
          <t>sprint-16</t>
        </is>
      </c>
      <c r="I2426" t="inlineStr">
        <is>
          <t>merged</t>
        </is>
      </c>
      <c r="J2426" t="inlineStr">
        <is>
          <t>a47dd665186ce206cb016e986a928d31e08db51c</t>
        </is>
      </c>
      <c r="K2426">
        <f>HYPERLINK("http://gitlab.osmosys.co/incident-reporter/incident-reporter-app/-/merge_requests/1737#note_231602", "I am marking them as resolved since it's a blocker for release &amp; confirmed with Raj")</f>
        <v/>
      </c>
      <c r="L2426" t="inlineStr">
        <is>
          <t>2025-07-03 14:03:54.382 IST</t>
        </is>
      </c>
      <c r="M2426" t="inlineStr">
        <is>
          <t>Soundariya B</t>
        </is>
      </c>
      <c r="N2426" t="inlineStr">
        <is>
          <t>Yes</t>
        </is>
      </c>
      <c r="O2426" t="inlineStr">
        <is>
          <t>Yes</t>
        </is>
      </c>
      <c r="P2426" t="inlineStr">
        <is>
          <t>Soundariya B</t>
        </is>
      </c>
      <c r="Q2426" t="inlineStr">
        <is>
          <t>Bad</t>
        </is>
      </c>
    </row>
    <row r="2427">
      <c r="A2427" t="inlineStr">
        <is>
          <t>dhruv.p</t>
        </is>
      </c>
      <c r="B2427" t="inlineStr">
        <is>
          <t>Dhruv Pahadia</t>
        </is>
      </c>
      <c r="C2427" t="inlineStr">
        <is>
          <t>dhruv.p@osmosys.co</t>
        </is>
      </c>
      <c r="D2427" t="inlineStr">
        <is>
          <t>incident-reporter</t>
        </is>
      </c>
      <c r="E2427">
        <f>HYPERLINK("http://gitlab.osmosys.co/incident-reporter/incident-reporter-app", "OQSHA Mobile App")</f>
        <v/>
      </c>
      <c r="F2427">
        <f>HYPERLINK("http://gitlab.osmosys.co/incident-reporter/incident-reporter-app/-/merge_requests/1737", "fix: fix user type fetching in job extension component")</f>
        <v/>
      </c>
      <c r="G2427" t="inlineStr">
        <is>
          <t>fix/usertype-fetch</t>
        </is>
      </c>
      <c r="H2427" t="inlineStr">
        <is>
          <t>sprint-16</t>
        </is>
      </c>
      <c r="I2427" t="inlineStr">
        <is>
          <t>merged</t>
        </is>
      </c>
      <c r="J2427" t="inlineStr">
        <is>
          <t>cdd11398957701a01b7ba740b2572aa88538ce22</t>
        </is>
      </c>
      <c r="K2427">
        <f>HYPERLINK("http://gitlab.osmosys.co/incident-reporter/incident-reporter-app/-/merge_requests/1737#note_231585", "Why here extra parentheses and also you can use userType as it already assigned EmployeeRole value to User type variable.")</f>
        <v/>
      </c>
      <c r="L2427" t="inlineStr">
        <is>
          <t>2025-07-03 13:58:52.466 IST</t>
        </is>
      </c>
      <c r="M2427" t="inlineStr">
        <is>
          <t>Soundariya B</t>
        </is>
      </c>
      <c r="N2427" t="inlineStr">
        <is>
          <t>Yes</t>
        </is>
      </c>
      <c r="O2427" t="inlineStr">
        <is>
          <t>Yes</t>
        </is>
      </c>
      <c r="P2427" t="inlineStr">
        <is>
          <t>Soundariya B</t>
        </is>
      </c>
      <c r="Q2427" t="inlineStr">
        <is>
          <t>Bad</t>
        </is>
      </c>
    </row>
    <row r="2428">
      <c r="A2428" t="inlineStr">
        <is>
          <t>dhruv.p</t>
        </is>
      </c>
      <c r="B2428" t="inlineStr">
        <is>
          <t>Dhruv Pahadia</t>
        </is>
      </c>
      <c r="C2428" t="inlineStr">
        <is>
          <t>dhruv.p@osmosys.co</t>
        </is>
      </c>
      <c r="D2428" t="inlineStr">
        <is>
          <t>incident-reporter</t>
        </is>
      </c>
      <c r="E2428">
        <f>HYPERLINK("http://gitlab.osmosys.co/incident-reporter/incident-reporter-app", "OQSHA Mobile App")</f>
        <v/>
      </c>
      <c r="F2428">
        <f>HYPERLINK("http://gitlab.osmosys.co/incident-reporter/incident-reporter-app/-/merge_requests/1737", "fix: fix user type fetching in job extension component")</f>
        <v/>
      </c>
      <c r="G2428" t="inlineStr">
        <is>
          <t>fix/usertype-fetch</t>
        </is>
      </c>
      <c r="H2428" t="inlineStr">
        <is>
          <t>sprint-16</t>
        </is>
      </c>
      <c r="I2428" t="inlineStr">
        <is>
          <t>merged</t>
        </is>
      </c>
      <c r="J2428" t="inlineStr">
        <is>
          <t>cdd11398957701a01b7ba740b2572aa88538ce22</t>
        </is>
      </c>
      <c r="K2428">
        <f>HYPERLINK("http://gitlab.osmosys.co/incident-reporter/incident-reporter-app/-/merge_requests/1737#note_231607", "I am marking them as resolved since it's a blocker for release &amp; confirmed with Raj")</f>
        <v/>
      </c>
      <c r="L2428" t="inlineStr">
        <is>
          <t>2025-07-03 14:04:31.108 IST</t>
        </is>
      </c>
      <c r="M2428" t="inlineStr">
        <is>
          <t>Soundariya B</t>
        </is>
      </c>
      <c r="N2428" t="inlineStr">
        <is>
          <t>Yes</t>
        </is>
      </c>
      <c r="O2428" t="inlineStr">
        <is>
          <t>Yes</t>
        </is>
      </c>
      <c r="P2428" t="inlineStr">
        <is>
          <t>Soundariya B</t>
        </is>
      </c>
      <c r="Q2428" t="inlineStr">
        <is>
          <t>Bad</t>
        </is>
      </c>
    </row>
    <row r="2429">
      <c r="A2429" t="inlineStr">
        <is>
          <t>dhruv.p</t>
        </is>
      </c>
      <c r="B2429" t="inlineStr">
        <is>
          <t>Dhruv Pahadia</t>
        </is>
      </c>
      <c r="C2429" t="inlineStr">
        <is>
          <t>dhruv.p@osmosys.co</t>
        </is>
      </c>
      <c r="D2429" t="inlineStr">
        <is>
          <t>incident-reporter</t>
        </is>
      </c>
      <c r="E2429">
        <f>HYPERLINK("http://gitlab.osmosys.co/incident-reporter/incident-reporter-app", "OQSHA Mobile App")</f>
        <v/>
      </c>
      <c r="F2429">
        <f>HYPERLINK("http://gitlab.osmosys.co/incident-reporter/incident-reporter-app/-/merge_requests/1737", "fix: fix user type fetching in job extension component")</f>
        <v/>
      </c>
      <c r="G2429" t="inlineStr">
        <is>
          <t>fix/usertype-fetch</t>
        </is>
      </c>
      <c r="H2429" t="inlineStr">
        <is>
          <t>sprint-16</t>
        </is>
      </c>
      <c r="I2429" t="inlineStr">
        <is>
          <t>merged</t>
        </is>
      </c>
      <c r="J2429" t="inlineStr">
        <is>
          <t>7cd75b6a7983adcf64bb750b706e9d2a714e4d71</t>
        </is>
      </c>
      <c r="K2429">
        <f>HYPERLINK("http://gitlab.osmosys.co/incident-reporter/incident-reporter-app/-/merge_requests/1737#note_231586", "Code redundancy issue")</f>
        <v/>
      </c>
      <c r="L2429" t="inlineStr">
        <is>
          <t>2025-07-03 13:58:52.522 IST</t>
        </is>
      </c>
      <c r="M2429" t="inlineStr">
        <is>
          <t>Soundariya B</t>
        </is>
      </c>
      <c r="N2429" t="inlineStr">
        <is>
          <t>Yes</t>
        </is>
      </c>
      <c r="O2429" t="inlineStr">
        <is>
          <t>Yes</t>
        </is>
      </c>
      <c r="P2429" t="inlineStr">
        <is>
          <t>Soundariya B</t>
        </is>
      </c>
      <c r="Q2429" t="inlineStr">
        <is>
          <t>Bad</t>
        </is>
      </c>
    </row>
    <row r="2430">
      <c r="A2430" t="inlineStr">
        <is>
          <t>dhruv.p</t>
        </is>
      </c>
      <c r="B2430" t="inlineStr">
        <is>
          <t>Dhruv Pahadia</t>
        </is>
      </c>
      <c r="C2430" t="inlineStr">
        <is>
          <t>dhruv.p@osmosys.co</t>
        </is>
      </c>
      <c r="D2430" t="inlineStr">
        <is>
          <t>incident-reporter</t>
        </is>
      </c>
      <c r="E2430">
        <f>HYPERLINK("http://gitlab.osmosys.co/incident-reporter/incident-reporter-app", "OQSHA Mobile App")</f>
        <v/>
      </c>
      <c r="F2430">
        <f>HYPERLINK("http://gitlab.osmosys.co/incident-reporter/incident-reporter-app/-/merge_requests/1737", "fix: fix user type fetching in job extension component")</f>
        <v/>
      </c>
      <c r="G2430" t="inlineStr">
        <is>
          <t>fix/usertype-fetch</t>
        </is>
      </c>
      <c r="H2430" t="inlineStr">
        <is>
          <t>sprint-16</t>
        </is>
      </c>
      <c r="I2430" t="inlineStr">
        <is>
          <t>merged</t>
        </is>
      </c>
      <c r="J2430" t="inlineStr">
        <is>
          <t>7cd75b6a7983adcf64bb750b706e9d2a714e4d71</t>
        </is>
      </c>
      <c r="K2430">
        <f>HYPERLINK("http://gitlab.osmosys.co/incident-reporter/incident-reporter-app/-/merge_requests/1737#note_231603", "I am marking them as resolved since it's a blocker for release &amp; confirmed with Raj")</f>
        <v/>
      </c>
      <c r="L2430" t="inlineStr">
        <is>
          <t>2025-07-03 14:04:00.583 IST</t>
        </is>
      </c>
      <c r="M2430" t="inlineStr">
        <is>
          <t>Soundariya B</t>
        </is>
      </c>
      <c r="N2430" t="inlineStr">
        <is>
          <t>Yes</t>
        </is>
      </c>
      <c r="O2430" t="inlineStr">
        <is>
          <t>Yes</t>
        </is>
      </c>
      <c r="P2430" t="inlineStr">
        <is>
          <t>Soundariya B</t>
        </is>
      </c>
      <c r="Q2430" t="inlineStr">
        <is>
          <t>Bad</t>
        </is>
      </c>
    </row>
    <row r="2431">
      <c r="A2431" t="inlineStr">
        <is>
          <t>dhruv.p</t>
        </is>
      </c>
      <c r="B2431" t="inlineStr">
        <is>
          <t>Dhruv Pahadia</t>
        </is>
      </c>
      <c r="C2431" t="inlineStr">
        <is>
          <t>dhruv.p@osmosys.co</t>
        </is>
      </c>
      <c r="D2431" t="inlineStr">
        <is>
          <t>incident-reporter</t>
        </is>
      </c>
      <c r="E2431">
        <f>HYPERLINK("http://gitlab.osmosys.co/incident-reporter/incident-reporter-app", "OQSHA Mobile App")</f>
        <v/>
      </c>
      <c r="F2431">
        <f>HYPERLINK("http://gitlab.osmosys.co/incident-reporter/incident-reporter-app/-/merge_requests/1737", "fix: fix user type fetching in job extension component")</f>
        <v/>
      </c>
      <c r="G2431" t="inlineStr">
        <is>
          <t>fix/usertype-fetch</t>
        </is>
      </c>
      <c r="H2431" t="inlineStr">
        <is>
          <t>sprint-16</t>
        </is>
      </c>
      <c r="I2431" t="inlineStr">
        <is>
          <t>merged</t>
        </is>
      </c>
      <c r="J2431" t="inlineStr">
        <is>
          <t>d8cab5ff094d7f844766ae58d4051c176f28418f</t>
        </is>
      </c>
      <c r="K2431">
        <f>HYPERLINK("http://gitlab.osmosys.co/incident-reporter/incident-reporter-app/-/merge_requests/1737#note_231587", "Code redundancy issue")</f>
        <v/>
      </c>
      <c r="L2431" t="inlineStr">
        <is>
          <t>2025-07-03 13:58:52.576 IST</t>
        </is>
      </c>
      <c r="M2431" t="inlineStr">
        <is>
          <t>Soundariya B</t>
        </is>
      </c>
      <c r="N2431" t="inlineStr">
        <is>
          <t>Yes</t>
        </is>
      </c>
      <c r="O2431" t="inlineStr">
        <is>
          <t>Yes</t>
        </is>
      </c>
      <c r="P2431" t="inlineStr">
        <is>
          <t>Soundariya B</t>
        </is>
      </c>
      <c r="Q2431" t="inlineStr">
        <is>
          <t>Bad</t>
        </is>
      </c>
    </row>
    <row r="2432">
      <c r="A2432" t="inlineStr">
        <is>
          <t>dhruv.p</t>
        </is>
      </c>
      <c r="B2432" t="inlineStr">
        <is>
          <t>Dhruv Pahadia</t>
        </is>
      </c>
      <c r="C2432" t="inlineStr">
        <is>
          <t>dhruv.p@osmosys.co</t>
        </is>
      </c>
      <c r="D2432" t="inlineStr">
        <is>
          <t>incident-reporter</t>
        </is>
      </c>
      <c r="E2432">
        <f>HYPERLINK("http://gitlab.osmosys.co/incident-reporter/incident-reporter-app", "OQSHA Mobile App")</f>
        <v/>
      </c>
      <c r="F2432">
        <f>HYPERLINK("http://gitlab.osmosys.co/incident-reporter/incident-reporter-app/-/merge_requests/1737", "fix: fix user type fetching in job extension component")</f>
        <v/>
      </c>
      <c r="G2432" t="inlineStr">
        <is>
          <t>fix/usertype-fetch</t>
        </is>
      </c>
      <c r="H2432" t="inlineStr">
        <is>
          <t>sprint-16</t>
        </is>
      </c>
      <c r="I2432" t="inlineStr">
        <is>
          <t>merged</t>
        </is>
      </c>
      <c r="J2432" t="inlineStr">
        <is>
          <t>d8cab5ff094d7f844766ae58d4051c176f28418f</t>
        </is>
      </c>
      <c r="K2432">
        <f>HYPERLINK("http://gitlab.osmosys.co/incident-reporter/incident-reporter-app/-/merge_requests/1737#note_231604", "I am marking them as resolved since it's a blocker for release &amp; confirmed with Raj")</f>
        <v/>
      </c>
      <c r="L2432" t="inlineStr">
        <is>
          <t>2025-07-03 14:04:06.939 IST</t>
        </is>
      </c>
      <c r="M2432" t="inlineStr">
        <is>
          <t>Soundariya B</t>
        </is>
      </c>
      <c r="N2432" t="inlineStr">
        <is>
          <t>Yes</t>
        </is>
      </c>
      <c r="O2432" t="inlineStr">
        <is>
          <t>Yes</t>
        </is>
      </c>
      <c r="P2432" t="inlineStr">
        <is>
          <t>Soundariya B</t>
        </is>
      </c>
      <c r="Q2432" t="inlineStr">
        <is>
          <t>Bad</t>
        </is>
      </c>
    </row>
    <row r="2433">
      <c r="A2433" t="inlineStr">
        <is>
          <t>dhruv.p</t>
        </is>
      </c>
      <c r="B2433" t="inlineStr">
        <is>
          <t>Dhruv Pahadia</t>
        </is>
      </c>
      <c r="C2433" t="inlineStr">
        <is>
          <t>dhruv.p@osmosys.co</t>
        </is>
      </c>
      <c r="D2433" t="inlineStr">
        <is>
          <t>incident-reporter</t>
        </is>
      </c>
      <c r="E2433">
        <f>HYPERLINK("http://gitlab.osmosys.co/incident-reporter/incident-reporter-app", "OQSHA Mobile App")</f>
        <v/>
      </c>
      <c r="F2433">
        <f>HYPERLINK("http://gitlab.osmosys.co/incident-reporter/incident-reporter-app/-/merge_requests/1737", "fix: fix user type fetching in job extension component")</f>
        <v/>
      </c>
      <c r="G2433" t="inlineStr">
        <is>
          <t>fix/usertype-fetch</t>
        </is>
      </c>
      <c r="H2433" t="inlineStr">
        <is>
          <t>sprint-16</t>
        </is>
      </c>
      <c r="I2433" t="inlineStr">
        <is>
          <t>merged</t>
        </is>
      </c>
      <c r="J2433" t="inlineStr">
        <is>
          <t>4cbe4794a867b25cb803f0a9ec2aaef3f20b0cf2</t>
        </is>
      </c>
      <c r="K2433">
        <f>HYPERLINK("http://gitlab.osmosys.co/incident-reporter/incident-reporter-app/-/merge_requests/1737#note_231588", "As this PR has functional change and not only UI so please attach the screen recording and test cases")</f>
        <v/>
      </c>
      <c r="L2433" t="inlineStr">
        <is>
          <t>2025-07-03 13:58:52.623 IST</t>
        </is>
      </c>
      <c r="M2433" t="inlineStr">
        <is>
          <t>Soundariya B</t>
        </is>
      </c>
      <c r="N2433" t="inlineStr">
        <is>
          <t>Yes</t>
        </is>
      </c>
      <c r="O2433" t="inlineStr">
        <is>
          <t>Yes</t>
        </is>
      </c>
      <c r="P2433" t="inlineStr">
        <is>
          <t>Soundariya B</t>
        </is>
      </c>
      <c r="Q2433" t="inlineStr">
        <is>
          <t>Bad</t>
        </is>
      </c>
    </row>
    <row r="2434">
      <c r="A2434" t="inlineStr">
        <is>
          <t>dhruv.p</t>
        </is>
      </c>
      <c r="B2434" t="inlineStr">
        <is>
          <t>Dhruv Pahadia</t>
        </is>
      </c>
      <c r="C2434" t="inlineStr">
        <is>
          <t>dhruv.p@osmosys.co</t>
        </is>
      </c>
      <c r="D2434" t="inlineStr">
        <is>
          <t>incident-reporter</t>
        </is>
      </c>
      <c r="E2434">
        <f>HYPERLINK("http://gitlab.osmosys.co/incident-reporter/incident-reporter-app", "OQSHA Mobile App")</f>
        <v/>
      </c>
      <c r="F2434">
        <f>HYPERLINK("http://gitlab.osmosys.co/incident-reporter/incident-reporter-app/-/merge_requests/1737", "fix: fix user type fetching in job extension component")</f>
        <v/>
      </c>
      <c r="G2434" t="inlineStr">
        <is>
          <t>fix/usertype-fetch</t>
        </is>
      </c>
      <c r="H2434" t="inlineStr">
        <is>
          <t>sprint-16</t>
        </is>
      </c>
      <c r="I2434" t="inlineStr">
        <is>
          <t>merged</t>
        </is>
      </c>
      <c r="J2434" t="inlineStr">
        <is>
          <t>4cbe4794a867b25cb803f0a9ec2aaef3f20b0cf2</t>
        </is>
      </c>
      <c r="K2434">
        <f>HYPERLINK("http://gitlab.osmosys.co/incident-reporter/incident-reporter-app/-/merge_requests/1737#note_231606", "I am marking them as resolved since it's a blocker for release &amp; confirmed with Raj")</f>
        <v/>
      </c>
      <c r="L2434" t="inlineStr">
        <is>
          <t>2025-07-03 14:04:21.433 IST</t>
        </is>
      </c>
      <c r="M2434" t="inlineStr">
        <is>
          <t>Soundariya B</t>
        </is>
      </c>
      <c r="N2434" t="inlineStr">
        <is>
          <t>Yes</t>
        </is>
      </c>
      <c r="O2434" t="inlineStr">
        <is>
          <t>Yes</t>
        </is>
      </c>
      <c r="P2434" t="inlineStr">
        <is>
          <t>Soundariya B</t>
        </is>
      </c>
      <c r="Q2434" t="inlineStr">
        <is>
          <t>Bad</t>
        </is>
      </c>
    </row>
    <row r="2435">
      <c r="A2435" t="inlineStr">
        <is>
          <t>dhruv.p</t>
        </is>
      </c>
      <c r="B2435" t="inlineStr">
        <is>
          <t>Dhruv Pahadia</t>
        </is>
      </c>
      <c r="C2435" t="inlineStr">
        <is>
          <t>dhruv.p@osmosys.co</t>
        </is>
      </c>
      <c r="D2435" t="inlineStr">
        <is>
          <t>incident-reporter</t>
        </is>
      </c>
      <c r="E2435">
        <f>HYPERLINK("http://gitlab.osmosys.co/incident-reporter/incident-reporter-app", "OQSHA Mobile App")</f>
        <v/>
      </c>
      <c r="F2435">
        <f>HYPERLINK("http://gitlab.osmosys.co/incident-reporter/incident-reporter-app/-/merge_requests/1737", "fix: fix user type fetching in job extension component")</f>
        <v/>
      </c>
      <c r="G2435" t="inlineStr">
        <is>
          <t>fix/usertype-fetch</t>
        </is>
      </c>
      <c r="H2435" t="inlineStr">
        <is>
          <t>sprint-16</t>
        </is>
      </c>
      <c r="I2435" t="inlineStr">
        <is>
          <t>merged</t>
        </is>
      </c>
      <c r="J2435" t="inlineStr">
        <is>
          <t>985fc6ac3918471dc126d35b9d300f1333252997</t>
        </is>
      </c>
      <c r="K2435">
        <f>HYPERLINK("http://gitlab.osmosys.co/incident-reporter/incident-reporter-app/-/merge_requests/1737#note_231590", "No Reviewer assignee
No labels")</f>
        <v/>
      </c>
      <c r="L2435" t="inlineStr">
        <is>
          <t>2025-07-03 13:59:12.464 IST</t>
        </is>
      </c>
      <c r="M2435" t="inlineStr">
        <is>
          <t>Soundariya B</t>
        </is>
      </c>
      <c r="N2435" t="inlineStr">
        <is>
          <t>Yes</t>
        </is>
      </c>
      <c r="O2435" t="inlineStr">
        <is>
          <t>Yes</t>
        </is>
      </c>
      <c r="P2435" t="inlineStr">
        <is>
          <t>Soundariya B</t>
        </is>
      </c>
      <c r="Q2435" t="inlineStr">
        <is>
          <t>Bad</t>
        </is>
      </c>
    </row>
    <row r="2436">
      <c r="A2436" t="inlineStr">
        <is>
          <t>dhruv.p</t>
        </is>
      </c>
      <c r="B2436" t="inlineStr">
        <is>
          <t>Dhruv Pahadia</t>
        </is>
      </c>
      <c r="C2436" t="inlineStr">
        <is>
          <t>dhruv.p@osmosys.co</t>
        </is>
      </c>
      <c r="D2436" t="inlineStr">
        <is>
          <t>incident-reporter</t>
        </is>
      </c>
      <c r="E2436">
        <f>HYPERLINK("http://gitlab.osmosys.co/incident-reporter/incident-reporter-app", "OQSHA Mobile App")</f>
        <v/>
      </c>
      <c r="F2436">
        <f>HYPERLINK("http://gitlab.osmosys.co/incident-reporter/incident-reporter-app/-/merge_requests/1737", "fix: fix user type fetching in job extension component")</f>
        <v/>
      </c>
      <c r="G2436" t="inlineStr">
        <is>
          <t>fix/usertype-fetch</t>
        </is>
      </c>
      <c r="H2436" t="inlineStr">
        <is>
          <t>sprint-16</t>
        </is>
      </c>
      <c r="I2436" t="inlineStr">
        <is>
          <t>merged</t>
        </is>
      </c>
      <c r="J2436" t="inlineStr">
        <is>
          <t>985fc6ac3918471dc126d35b9d300f1333252997</t>
        </is>
      </c>
      <c r="K2436">
        <f>HYPERLINK("http://gitlab.osmosys.co/incident-reporter/incident-reporter-app/-/merge_requests/1737#note_231605", "I am marking them as resolved since it's a blocker for release &amp; confirmed with Raj")</f>
        <v/>
      </c>
      <c r="L2436" t="inlineStr">
        <is>
          <t>2025-07-03 14:04:12.858 IST</t>
        </is>
      </c>
      <c r="M2436" t="inlineStr">
        <is>
          <t>Soundariya B</t>
        </is>
      </c>
      <c r="N2436" t="inlineStr">
        <is>
          <t>Yes</t>
        </is>
      </c>
      <c r="O2436" t="inlineStr">
        <is>
          <t>Yes</t>
        </is>
      </c>
      <c r="P2436" t="inlineStr">
        <is>
          <t>Soundariya B</t>
        </is>
      </c>
      <c r="Q2436" t="inlineStr">
        <is>
          <t>Bad</t>
        </is>
      </c>
    </row>
    <row r="2437">
      <c r="A2437" t="inlineStr">
        <is>
          <t>dhruv.p</t>
        </is>
      </c>
      <c r="B2437" t="inlineStr">
        <is>
          <t>Dhruv Pahadia</t>
        </is>
      </c>
      <c r="C2437" t="inlineStr">
        <is>
          <t>dhruv.p@osmosys.co</t>
        </is>
      </c>
      <c r="D2437" t="inlineStr">
        <is>
          <t>incident-reporter</t>
        </is>
      </c>
      <c r="E2437">
        <f>HYPERLINK("http://gitlab.osmosys.co/incident-reporter/incident-reporter-app", "OQSHA Mobile App")</f>
        <v/>
      </c>
      <c r="F2437">
        <f>HYPERLINK("http://gitlab.osmosys.co/incident-reporter/incident-reporter-app/-/merge_requests/1733", "fix: fix button validation for extension flow")</f>
        <v/>
      </c>
      <c r="G2437" t="inlineStr">
        <is>
          <t>fix/button-validation</t>
        </is>
      </c>
      <c r="H2437" t="inlineStr">
        <is>
          <t>sprint-16</t>
        </is>
      </c>
      <c r="I2437" t="inlineStr">
        <is>
          <t>merged</t>
        </is>
      </c>
      <c r="J2437" t="inlineStr"/>
      <c r="K2437" t="inlineStr"/>
      <c r="L2437" t="inlineStr"/>
      <c r="M2437" t="inlineStr"/>
      <c r="N2437" t="inlineStr"/>
      <c r="O2437" t="inlineStr"/>
      <c r="P2437" t="inlineStr"/>
      <c r="Q2437" t="inlineStr"/>
    </row>
    <row r="2438">
      <c r="A2438" t="inlineStr">
        <is>
          <t>dhruv.p</t>
        </is>
      </c>
      <c r="B2438" t="inlineStr">
        <is>
          <t>Dhruv Pahadia</t>
        </is>
      </c>
      <c r="C2438" t="inlineStr">
        <is>
          <t>dhruv.p@osmosys.co</t>
        </is>
      </c>
      <c r="D2438" t="inlineStr">
        <is>
          <t>incident-reporter</t>
        </is>
      </c>
      <c r="E2438">
        <f>HYPERLINK("http://gitlab.osmosys.co/incident-reporter/incident-reporter-app", "OQSHA Mobile App")</f>
        <v/>
      </c>
      <c r="F2438">
        <f>HYPERLINK("http://gitlab.osmosys.co/incident-reporter/incident-reporter-app/-/merge_requests/1730", "fix: fetch the user list data in approver case")</f>
        <v/>
      </c>
      <c r="G2438" t="inlineStr">
        <is>
          <t>fix/empty-approver-dropdown</t>
        </is>
      </c>
      <c r="H2438" t="inlineStr">
        <is>
          <t>sprint-16</t>
        </is>
      </c>
      <c r="I2438" t="inlineStr">
        <is>
          <t>merged</t>
        </is>
      </c>
      <c r="J2438" t="inlineStr"/>
      <c r="K2438" t="inlineStr"/>
      <c r="L2438" t="inlineStr"/>
      <c r="M2438" t="inlineStr"/>
      <c r="N2438" t="inlineStr"/>
      <c r="O2438" t="inlineStr"/>
      <c r="P2438" t="inlineStr"/>
      <c r="Q2438" t="inlineStr"/>
    </row>
    <row r="2439">
      <c r="A2439" t="inlineStr">
        <is>
          <t>abhinav.s</t>
        </is>
      </c>
      <c r="B2439" t="inlineStr">
        <is>
          <t>Abhinav Srivastava</t>
        </is>
      </c>
      <c r="C2439" t="inlineStr">
        <is>
          <t>abhinav.s@osmosys.co</t>
        </is>
      </c>
      <c r="D2439" t="inlineStr">
        <is>
          <t>incident-reporter</t>
        </is>
      </c>
      <c r="E2439">
        <f>HYPERLINK("http://gitlab.osmosys.co/incident-reporter/incident-reporter-api", "OQSHA-API")</f>
        <v/>
      </c>
      <c r="F2439">
        <f>HYPERLINK("http://gitlab.osmosys.co/incident-reporter/incident-reporter-api/-/merge_requests/4481", "feat: add post api for investigation report")</f>
        <v/>
      </c>
      <c r="G2439" t="inlineStr">
        <is>
          <t>feat/post-investigation-report</t>
        </is>
      </c>
      <c r="H2439" t="inlineStr">
        <is>
          <t>sprint-19</t>
        </is>
      </c>
      <c r="I2439" t="inlineStr">
        <is>
          <t>opened</t>
        </is>
      </c>
      <c r="J2439" t="inlineStr"/>
      <c r="K2439" t="inlineStr"/>
      <c r="L2439" t="inlineStr"/>
      <c r="M2439" t="inlineStr"/>
      <c r="N2439" t="inlineStr"/>
      <c r="O2439" t="inlineStr"/>
      <c r="P2439" t="inlineStr"/>
      <c r="Q2439" t="inlineStr"/>
    </row>
    <row r="2440">
      <c r="A2440" t="inlineStr">
        <is>
          <t>abhinav.s</t>
        </is>
      </c>
      <c r="B2440" t="inlineStr">
        <is>
          <t>Abhinav Srivastava</t>
        </is>
      </c>
      <c r="C2440" t="inlineStr">
        <is>
          <t>abhinav.s@osmosys.co</t>
        </is>
      </c>
      <c r="D2440" t="inlineStr">
        <is>
          <t>incident-reporter</t>
        </is>
      </c>
      <c r="E2440">
        <f>HYPERLINK("http://gitlab.osmosys.co/incident-reporter/incident-reporter-api", "OQSHA-API")</f>
        <v/>
      </c>
      <c r="F2440">
        <f>HYPERLINK("http://gitlab.osmosys.co/incident-reporter/incident-reporter-api/-/merge_requests/4459", "fix: preserve reference images during course quiz updates")</f>
        <v/>
      </c>
      <c r="G2440" t="inlineStr">
        <is>
          <t>fix/update-image-quiz</t>
        </is>
      </c>
      <c r="H2440" t="inlineStr">
        <is>
          <t>sprint-19</t>
        </is>
      </c>
      <c r="I2440" t="inlineStr">
        <is>
          <t>merged</t>
        </is>
      </c>
      <c r="J2440" t="inlineStr"/>
      <c r="K2440" t="inlineStr"/>
      <c r="L2440" t="inlineStr"/>
      <c r="M2440" t="inlineStr"/>
      <c r="N2440" t="inlineStr"/>
      <c r="O2440" t="inlineStr"/>
      <c r="P2440" t="inlineStr"/>
      <c r="Q2440" t="inlineStr"/>
    </row>
    <row r="2441">
      <c r="A2441" t="inlineStr">
        <is>
          <t>abhinav.s</t>
        </is>
      </c>
      <c r="B2441" t="inlineStr">
        <is>
          <t>Abhinav Srivastava</t>
        </is>
      </c>
      <c r="C2441" t="inlineStr">
        <is>
          <t>abhinav.s@osmosys.co</t>
        </is>
      </c>
      <c r="D2441" t="inlineStr">
        <is>
          <t>incident-reporter</t>
        </is>
      </c>
      <c r="E2441">
        <f>HYPERLINK("http://gitlab.osmosys.co/incident-reporter/incident-reporter-api", "OQSHA-API")</f>
        <v/>
      </c>
      <c r="F2441">
        <f>HYPERLINK("http://gitlab.osmosys.co/incident-reporter/incident-reporter-api/-/merge_requests/4437", "feat: show current validation date in WorkPermitForDate for multi-day PTWs")</f>
        <v/>
      </c>
      <c r="G2441" t="inlineStr">
        <is>
          <t>feat/work-permit-for-date</t>
        </is>
      </c>
      <c r="H2441" t="inlineStr">
        <is>
          <t>sprint-19</t>
        </is>
      </c>
      <c r="I2441" t="inlineStr">
        <is>
          <t>merged</t>
        </is>
      </c>
      <c r="J2441" t="inlineStr"/>
      <c r="K2441" t="inlineStr"/>
      <c r="L2441" t="inlineStr"/>
      <c r="M2441" t="inlineStr"/>
      <c r="N2441" t="inlineStr"/>
      <c r="O2441" t="inlineStr"/>
      <c r="P2441" t="inlineStr"/>
      <c r="Q2441" t="inlineStr"/>
    </row>
    <row r="2442">
      <c r="A2442" t="inlineStr">
        <is>
          <t>abhinav.s</t>
        </is>
      </c>
      <c r="B2442" t="inlineStr">
        <is>
          <t>Abhinav Srivastava</t>
        </is>
      </c>
      <c r="C2442" t="inlineStr">
        <is>
          <t>abhinav.s@osmosys.co</t>
        </is>
      </c>
      <c r="D2442" t="inlineStr">
        <is>
          <t>incident-reporter</t>
        </is>
      </c>
      <c r="E2442">
        <f>HYPERLINK("http://gitlab.osmosys.co/incident-reporter/incident-reporter-api", "OQSHA-API")</f>
        <v/>
      </c>
      <c r="F2442">
        <f>HYPERLINK("http://gitlab.osmosys.co/incident-reporter/incident-reporter-api/-/merge_requests/4431", "fix: exclude cancelled ptws from getting abandoned")</f>
        <v/>
      </c>
      <c r="G2442" t="inlineStr">
        <is>
          <t>fix/cancel-ptw</t>
        </is>
      </c>
      <c r="H2442" t="inlineStr">
        <is>
          <t>sprint-19</t>
        </is>
      </c>
      <c r="I2442" t="inlineStr">
        <is>
          <t>merged</t>
        </is>
      </c>
      <c r="J2442" t="inlineStr"/>
      <c r="K2442" t="inlineStr"/>
      <c r="L2442" t="inlineStr"/>
      <c r="M2442" t="inlineStr"/>
      <c r="N2442" t="inlineStr"/>
      <c r="O2442" t="inlineStr"/>
      <c r="P2442" t="inlineStr"/>
      <c r="Q2442" t="inlineStr"/>
    </row>
    <row r="2443">
      <c r="A2443" t="inlineStr">
        <is>
          <t>abhinav.s</t>
        </is>
      </c>
      <c r="B2443" t="inlineStr">
        <is>
          <t>Abhinav Srivastava</t>
        </is>
      </c>
      <c r="C2443" t="inlineStr">
        <is>
          <t>abhinav.s@osmosys.co</t>
        </is>
      </c>
      <c r="D2443" t="inlineStr">
        <is>
          <t>incident-reporter</t>
        </is>
      </c>
      <c r="E2443">
        <f>HYPERLINK("http://gitlab.osmosys.co/incident-reporter/incident-reporter-api", "OQSHA-API")</f>
        <v/>
      </c>
      <c r="F2443">
        <f>HYPERLINK("http://gitlab.osmosys.co/incident-reporter/incident-reporter-api/-/merge_requests/4430", "fix: handle empty task ID list in soft delete task assignees to prevent sql error")</f>
        <v/>
      </c>
      <c r="G2443" t="inlineStr">
        <is>
          <t>fix/ticket-exception</t>
        </is>
      </c>
      <c r="H2443" t="inlineStr">
        <is>
          <t>sprint-18</t>
        </is>
      </c>
      <c r="I2443" t="inlineStr">
        <is>
          <t>merged</t>
        </is>
      </c>
      <c r="J2443" t="inlineStr"/>
      <c r="K2443" t="inlineStr"/>
      <c r="L2443" t="inlineStr"/>
      <c r="M2443" t="inlineStr"/>
      <c r="N2443" t="inlineStr"/>
      <c r="O2443" t="inlineStr"/>
      <c r="P2443" t="inlineStr"/>
      <c r="Q2443" t="inlineStr"/>
    </row>
    <row r="2444">
      <c r="A2444" t="inlineStr">
        <is>
          <t>abhinav.s</t>
        </is>
      </c>
      <c r="B2444" t="inlineStr">
        <is>
          <t>Abhinav Srivastava</t>
        </is>
      </c>
      <c r="C2444" t="inlineStr">
        <is>
          <t>abhinav.s@osmosys.co</t>
        </is>
      </c>
      <c r="D2444" t="inlineStr">
        <is>
          <t>incident-reporter</t>
        </is>
      </c>
      <c r="E2444">
        <f>HYPERLINK("http://gitlab.osmosys.co/incident-reporter/incident-reporter-api", "OQSHA-API")</f>
        <v/>
      </c>
      <c r="F2444">
        <f>HYPERLINK("http://gitlab.osmosys.co/incident-reporter/incident-reporter-api/-/merge_requests/4424", "feat: add NightWorkAssociatedJobTypes support in PTW Preferences")</f>
        <v/>
      </c>
      <c r="G2444" t="inlineStr">
        <is>
          <t>feat/ptw-night-work</t>
        </is>
      </c>
      <c r="H2444" t="inlineStr">
        <is>
          <t>sprint-19</t>
        </is>
      </c>
      <c r="I2444" t="inlineStr">
        <is>
          <t>merged</t>
        </is>
      </c>
      <c r="J2444" t="inlineStr"/>
      <c r="K2444" t="inlineStr"/>
      <c r="L2444" t="inlineStr"/>
      <c r="M2444" t="inlineStr"/>
      <c r="N2444" t="inlineStr"/>
      <c r="O2444" t="inlineStr"/>
      <c r="P2444" t="inlineStr"/>
      <c r="Q2444" t="inlineStr"/>
    </row>
    <row r="2445">
      <c r="A2445" t="inlineStr">
        <is>
          <t>abhinav.s</t>
        </is>
      </c>
      <c r="B2445" t="inlineStr">
        <is>
          <t>Abhinav Srivastava</t>
        </is>
      </c>
      <c r="C2445" t="inlineStr">
        <is>
          <t>abhinav.s@osmosys.co</t>
        </is>
      </c>
      <c r="D2445" t="inlineStr">
        <is>
          <t>incident-reporter</t>
        </is>
      </c>
      <c r="E2445">
        <f>HYPERLINK("http://gitlab.osmosys.co/incident-reporter/incident-reporter-api", "OQSHA-API")</f>
        <v/>
      </c>
      <c r="F2445">
        <f>HYPERLINK("http://gitlab.osmosys.co/incident-reporter/incident-reporter-api/-/merge_requests/4407", "fix: handled missing due dates in task notifications by defaulting to 'N/A'")</f>
        <v/>
      </c>
      <c r="G2445" t="inlineStr">
        <is>
          <t>fix/task-due-date-notification</t>
        </is>
      </c>
      <c r="H2445" t="inlineStr">
        <is>
          <t>sprint-18</t>
        </is>
      </c>
      <c r="I2445" t="inlineStr">
        <is>
          <t>merged</t>
        </is>
      </c>
      <c r="J2445" t="inlineStr"/>
      <c r="K2445" t="inlineStr"/>
      <c r="L2445" t="inlineStr"/>
      <c r="M2445" t="inlineStr"/>
      <c r="N2445" t="inlineStr"/>
      <c r="O2445" t="inlineStr"/>
      <c r="P2445" t="inlineStr"/>
      <c r="Q2445" t="inlineStr"/>
    </row>
    <row r="2446">
      <c r="A2446" t="inlineStr">
        <is>
          <t>abhinav.s</t>
        </is>
      </c>
      <c r="B2446" t="inlineStr">
        <is>
          <t>Abhinav Srivastava</t>
        </is>
      </c>
      <c r="C2446" t="inlineStr">
        <is>
          <t>abhinav.s@osmosys.co</t>
        </is>
      </c>
      <c r="D2446" t="inlineStr">
        <is>
          <t>incident-reporter</t>
        </is>
      </c>
      <c r="E2446">
        <f>HYPERLINK("http://gitlab.osmosys.co/incident-reporter/incident-reporter-api", "OQSHA-API")</f>
        <v/>
      </c>
      <c r="F2446">
        <f>HYPERLINK("http://gitlab.osmosys.co/incident-reporter/incident-reporter-api/-/merge_requests/4403", "fix: update task assignee mapping on incident update")</f>
        <v/>
      </c>
      <c r="G2446" t="inlineStr">
        <is>
          <t>fix/task-assignee-bug</t>
        </is>
      </c>
      <c r="H2446" t="inlineStr">
        <is>
          <t>sprint-18</t>
        </is>
      </c>
      <c r="I2446" t="inlineStr">
        <is>
          <t>merged</t>
        </is>
      </c>
      <c r="J2446" t="inlineStr"/>
      <c r="K2446" t="inlineStr"/>
      <c r="L2446" t="inlineStr"/>
      <c r="M2446" t="inlineStr"/>
      <c r="N2446" t="inlineStr"/>
      <c r="O2446" t="inlineStr"/>
      <c r="P2446" t="inlineStr"/>
      <c r="Q2446" t="inlineStr"/>
    </row>
    <row r="2447">
      <c r="A2447" t="inlineStr">
        <is>
          <t>abhinav.s</t>
        </is>
      </c>
      <c r="B2447" t="inlineStr">
        <is>
          <t>Abhinav Srivastava</t>
        </is>
      </c>
      <c r="C2447" t="inlineStr">
        <is>
          <t>abhinav.s@osmosys.co</t>
        </is>
      </c>
      <c r="D2447" t="inlineStr">
        <is>
          <t>incident-reporter</t>
        </is>
      </c>
      <c r="E2447">
        <f>HYPERLINK("http://gitlab.osmosys.co/incident-reporter/incident-reporter-api", "OQSHA-API")</f>
        <v/>
      </c>
      <c r="F2447">
        <f>HYPERLINK("http://gitlab.osmosys.co/incident-reporter/incident-reporter-api/-/merge_requests/4401", "feat: add support for pre/post training quiz questions in course apis")</f>
        <v/>
      </c>
      <c r="G2447" t="inlineStr">
        <is>
          <t>feat/add-quiz-course</t>
        </is>
      </c>
      <c r="H2447" t="inlineStr">
        <is>
          <t>sprint-19</t>
        </is>
      </c>
      <c r="I2447" t="inlineStr">
        <is>
          <t>merged</t>
        </is>
      </c>
      <c r="J2447" t="inlineStr">
        <is>
          <t>83d4d180a1d9be5d70d6b10565ffb6b336a43240</t>
        </is>
      </c>
      <c r="K2447">
        <f>HYPERLINK("http://gitlab.osmosys.co/incident-reporter/incident-reporter-api/-/merge_requests/4401#note_245390", "keep Pre_Training, Post_Training")</f>
        <v/>
      </c>
      <c r="L2447" t="inlineStr">
        <is>
          <t>2025-08-01 14:28:48.503 IST</t>
        </is>
      </c>
      <c r="M2447" t="inlineStr">
        <is>
          <t>Sindhusha</t>
        </is>
      </c>
      <c r="N2447" t="inlineStr">
        <is>
          <t>Yes</t>
        </is>
      </c>
      <c r="O2447" t="inlineStr">
        <is>
          <t>Yes</t>
        </is>
      </c>
      <c r="P2447" t="inlineStr">
        <is>
          <t>Sindhusha</t>
        </is>
      </c>
      <c r="Q2447" t="inlineStr">
        <is>
          <t>Good</t>
        </is>
      </c>
    </row>
    <row r="2448">
      <c r="A2448" t="inlineStr">
        <is>
          <t>abhinav.s</t>
        </is>
      </c>
      <c r="B2448" t="inlineStr">
        <is>
          <t>Abhinav Srivastava</t>
        </is>
      </c>
      <c r="C2448" t="inlineStr">
        <is>
          <t>abhinav.s@osmosys.co</t>
        </is>
      </c>
      <c r="D2448" t="inlineStr">
        <is>
          <t>incident-reporter</t>
        </is>
      </c>
      <c r="E2448">
        <f>HYPERLINK("http://gitlab.osmosys.co/incident-reporter/incident-reporter-api", "OQSHA-API")</f>
        <v/>
      </c>
      <c r="F2448">
        <f>HYPERLINK("http://gitlab.osmosys.co/incident-reporter/incident-reporter-api/-/merge_requests/4401", "feat: add support for pre/post training quiz questions in course apis")</f>
        <v/>
      </c>
      <c r="G2448" t="inlineStr">
        <is>
          <t>feat/add-quiz-course</t>
        </is>
      </c>
      <c r="H2448" t="inlineStr">
        <is>
          <t>sprint-19</t>
        </is>
      </c>
      <c r="I2448" t="inlineStr">
        <is>
          <t>merged</t>
        </is>
      </c>
      <c r="J2448" t="inlineStr">
        <is>
          <t>83d4d180a1d9be5d70d6b10565ffb6b336a43240</t>
        </is>
      </c>
      <c r="K2448">
        <f>HYPERLINK("http://gitlab.osmosys.co/incident-reporter/incident-reporter-api/-/merge_requests/4401#note_245453", "Sindhu, I have changed and  defined the enum values as 'PreTraining' and 'PostTraining' using PascalCase, as this aligns with the naming convention we follow throughout our database. Additionally, PascalCase is considered a recommended standard for enum naming")</f>
        <v/>
      </c>
      <c r="L2448" t="inlineStr">
        <is>
          <t>2025-08-01 15:11:46.840 IST</t>
        </is>
      </c>
      <c r="M2448" t="inlineStr">
        <is>
          <t>Abhinav Srivastava</t>
        </is>
      </c>
      <c r="N2448" t="inlineStr">
        <is>
          <t>No</t>
        </is>
      </c>
      <c r="O2448" t="inlineStr">
        <is>
          <t>Yes</t>
        </is>
      </c>
      <c r="P2448" t="inlineStr">
        <is>
          <t>Sindhusha</t>
        </is>
      </c>
      <c r="Q2448" t="inlineStr">
        <is>
          <t>Good</t>
        </is>
      </c>
    </row>
    <row r="2449">
      <c r="A2449" t="inlineStr">
        <is>
          <t>abhinav.s</t>
        </is>
      </c>
      <c r="B2449" t="inlineStr">
        <is>
          <t>Abhinav Srivastava</t>
        </is>
      </c>
      <c r="C2449" t="inlineStr">
        <is>
          <t>abhinav.s@osmosys.co</t>
        </is>
      </c>
      <c r="D2449" t="inlineStr">
        <is>
          <t>incident-reporter</t>
        </is>
      </c>
      <c r="E2449">
        <f>HYPERLINK("http://gitlab.osmosys.co/incident-reporter/incident-reporter-api", "OQSHA-API")</f>
        <v/>
      </c>
      <c r="F2449">
        <f>HYPERLINK("http://gitlab.osmosys.co/incident-reporter/incident-reporter-api/-/merge_requests/4401", "feat: add support for pre/post training quiz questions in course apis")</f>
        <v/>
      </c>
      <c r="G2449" t="inlineStr">
        <is>
          <t>feat/add-quiz-course</t>
        </is>
      </c>
      <c r="H2449" t="inlineStr">
        <is>
          <t>sprint-19</t>
        </is>
      </c>
      <c r="I2449" t="inlineStr">
        <is>
          <t>merged</t>
        </is>
      </c>
      <c r="J2449" t="inlineStr">
        <is>
          <t>3ae3baff2e4cfb9b244baac3284535d329e33249</t>
        </is>
      </c>
      <c r="K2449">
        <f>HYPERLINK("http://gitlab.osmosys.co/incident-reporter/incident-reporter-api/-/merge_requests/4401#note_245391", "By default, index will be added to foreign key columns. Do we still need this?")</f>
        <v/>
      </c>
      <c r="L2449" t="inlineStr">
        <is>
          <t>2025-08-01 14:30:05.185 IST</t>
        </is>
      </c>
      <c r="M2449" t="inlineStr">
        <is>
          <t>Sindhusha</t>
        </is>
      </c>
      <c r="N2449" t="inlineStr">
        <is>
          <t>Yes</t>
        </is>
      </c>
      <c r="O2449" t="inlineStr">
        <is>
          <t>Yes</t>
        </is>
      </c>
      <c r="P2449" t="inlineStr">
        <is>
          <t>Sindhusha</t>
        </is>
      </c>
      <c r="Q2449" t="inlineStr">
        <is>
          <t>Bad</t>
        </is>
      </c>
    </row>
    <row r="2450">
      <c r="A2450" t="inlineStr">
        <is>
          <t>abhinav.s</t>
        </is>
      </c>
      <c r="B2450" t="inlineStr">
        <is>
          <t>Abhinav Srivastava</t>
        </is>
      </c>
      <c r="C2450" t="inlineStr">
        <is>
          <t>abhinav.s@osmosys.co</t>
        </is>
      </c>
      <c r="D2450" t="inlineStr">
        <is>
          <t>incident-reporter</t>
        </is>
      </c>
      <c r="E2450">
        <f>HYPERLINK("http://gitlab.osmosys.co/incident-reporter/incident-reporter-api", "OQSHA-API")</f>
        <v/>
      </c>
      <c r="F2450">
        <f>HYPERLINK("http://gitlab.osmosys.co/incident-reporter/incident-reporter-api/-/merge_requests/4401", "feat: add support for pre/post training quiz questions in course apis")</f>
        <v/>
      </c>
      <c r="G2450" t="inlineStr">
        <is>
          <t>feat/add-quiz-course</t>
        </is>
      </c>
      <c r="H2450" t="inlineStr">
        <is>
          <t>sprint-19</t>
        </is>
      </c>
      <c r="I2450" t="inlineStr">
        <is>
          <t>merged</t>
        </is>
      </c>
      <c r="J2450" t="inlineStr">
        <is>
          <t>3ae3baff2e4cfb9b244baac3284535d329e33249</t>
        </is>
      </c>
      <c r="K2450">
        <f>HYPERLINK("http://gitlab.osmosys.co/incident-reporter/incident-reporter-api/-/merge_requests/4401#note_245454", "Yes, I have removed the indexes now")</f>
        <v/>
      </c>
      <c r="L2450" t="inlineStr">
        <is>
          <t>2025-08-01 15:12:42.744 IST</t>
        </is>
      </c>
      <c r="M2450" t="inlineStr">
        <is>
          <t>Abhinav Srivastava</t>
        </is>
      </c>
      <c r="N2450" t="inlineStr">
        <is>
          <t>No</t>
        </is>
      </c>
      <c r="O2450" t="inlineStr">
        <is>
          <t>Yes</t>
        </is>
      </c>
      <c r="P2450" t="inlineStr">
        <is>
          <t>Sindhusha</t>
        </is>
      </c>
      <c r="Q2450" t="inlineStr">
        <is>
          <t>Bad</t>
        </is>
      </c>
    </row>
    <row r="2451">
      <c r="A2451" t="inlineStr">
        <is>
          <t>abhinav.s</t>
        </is>
      </c>
      <c r="B2451" t="inlineStr">
        <is>
          <t>Abhinav Srivastava</t>
        </is>
      </c>
      <c r="C2451" t="inlineStr">
        <is>
          <t>abhinav.s@osmosys.co</t>
        </is>
      </c>
      <c r="D2451" t="inlineStr">
        <is>
          <t>incident-reporter</t>
        </is>
      </c>
      <c r="E2451">
        <f>HYPERLINK("http://gitlab.osmosys.co/incident-reporter/incident-reporter-api", "OQSHA-API")</f>
        <v/>
      </c>
      <c r="F2451">
        <f>HYPERLINK("http://gitlab.osmosys.co/incident-reporter/incident-reporter-api/-/merge_requests/4392", "feat: add default ptw preferences on organisation registration")</f>
        <v/>
      </c>
      <c r="G2451" t="inlineStr">
        <is>
          <t>feat/default-ptw-preferences-19</t>
        </is>
      </c>
      <c r="H2451" t="inlineStr">
        <is>
          <t>sprint-19</t>
        </is>
      </c>
      <c r="I2451" t="inlineStr">
        <is>
          <t>merged</t>
        </is>
      </c>
      <c r="J2451" t="inlineStr">
        <is>
          <t>2956ba703a23f43339dd5231bd89ea4a687fc480</t>
        </is>
      </c>
      <c r="K2451">
        <f>HYPERLINK("http://gitlab.osmosys.co/incident-reporter/incident-reporter-api/-/merge_requests/4392#note_245534", "Can't the values be set in insert query itself?")</f>
        <v/>
      </c>
      <c r="L2451" t="inlineStr">
        <is>
          <t>2025-08-01 16:13:32.308 IST</t>
        </is>
      </c>
      <c r="M2451" t="inlineStr">
        <is>
          <t>Kumar Samarjeet</t>
        </is>
      </c>
      <c r="N2451" t="inlineStr">
        <is>
          <t>Yes</t>
        </is>
      </c>
      <c r="O2451" t="inlineStr">
        <is>
          <t>Yes</t>
        </is>
      </c>
      <c r="P2451" t="inlineStr">
        <is>
          <t>Kumar Samarjeet</t>
        </is>
      </c>
      <c r="Q2451" t="inlineStr">
        <is>
          <t>Bad</t>
        </is>
      </c>
    </row>
    <row r="2452">
      <c r="A2452" t="inlineStr">
        <is>
          <t>abhinav.s</t>
        </is>
      </c>
      <c r="B2452" t="inlineStr">
        <is>
          <t>Abhinav Srivastava</t>
        </is>
      </c>
      <c r="C2452" t="inlineStr">
        <is>
          <t>abhinav.s@osmosys.co</t>
        </is>
      </c>
      <c r="D2452" t="inlineStr">
        <is>
          <t>incident-reporter</t>
        </is>
      </c>
      <c r="E2452">
        <f>HYPERLINK("http://gitlab.osmosys.co/incident-reporter/incident-reporter-api", "OQSHA-API")</f>
        <v/>
      </c>
      <c r="F2452">
        <f>HYPERLINK("http://gitlab.osmosys.co/incident-reporter/incident-reporter-api/-/merge_requests/4392", "feat: add default ptw preferences on organisation registration")</f>
        <v/>
      </c>
      <c r="G2452" t="inlineStr">
        <is>
          <t>feat/default-ptw-preferences-19</t>
        </is>
      </c>
      <c r="H2452" t="inlineStr">
        <is>
          <t>sprint-19</t>
        </is>
      </c>
      <c r="I2452" t="inlineStr">
        <is>
          <t>merged</t>
        </is>
      </c>
      <c r="J2452" t="inlineStr">
        <is>
          <t>2956ba703a23f43339dd5231bd89ea4a687fc480</t>
        </is>
      </c>
      <c r="K2452">
        <f>HYPERLINK("http://gitlab.osmosys.co/incident-reporter/incident-reporter-api/-/merge_requests/4392#note_245644", "Added in insert query itself now")</f>
        <v/>
      </c>
      <c r="L2452" t="inlineStr">
        <is>
          <t>2025-08-01 17:12:01.554 IST</t>
        </is>
      </c>
      <c r="M2452" t="inlineStr">
        <is>
          <t>Abhinav Srivastava</t>
        </is>
      </c>
      <c r="N2452" t="inlineStr">
        <is>
          <t>No</t>
        </is>
      </c>
      <c r="O2452" t="inlineStr">
        <is>
          <t>Yes</t>
        </is>
      </c>
      <c r="P2452" t="inlineStr">
        <is>
          <t>Kumar Samarjeet</t>
        </is>
      </c>
      <c r="Q2452" t="inlineStr">
        <is>
          <t>Bad</t>
        </is>
      </c>
    </row>
    <row r="2453">
      <c r="A2453" t="inlineStr">
        <is>
          <t>abhinav.s</t>
        </is>
      </c>
      <c r="B2453" t="inlineStr">
        <is>
          <t>Abhinav Srivastava</t>
        </is>
      </c>
      <c r="C2453" t="inlineStr">
        <is>
          <t>abhinav.s@osmosys.co</t>
        </is>
      </c>
      <c r="D2453" t="inlineStr">
        <is>
          <t>incident-reporter</t>
        </is>
      </c>
      <c r="E2453">
        <f>HYPERLINK("http://gitlab.osmosys.co/incident-reporter/incident-reporter-api", "OQSHA-API")</f>
        <v/>
      </c>
      <c r="F2453">
        <f>HYPERLINK("http://gitlab.osmosys.co/incident-reporter/incident-reporter-api/-/merge_requests/4392", "feat: add default ptw preferences on organisation registration")</f>
        <v/>
      </c>
      <c r="G2453" t="inlineStr">
        <is>
          <t>feat/default-ptw-preferences-19</t>
        </is>
      </c>
      <c r="H2453" t="inlineStr">
        <is>
          <t>sprint-19</t>
        </is>
      </c>
      <c r="I2453" t="inlineStr">
        <is>
          <t>merged</t>
        </is>
      </c>
      <c r="J2453" t="inlineStr">
        <is>
          <t>411c6f54305d8299295bc9d3004732628b8d5b49</t>
        </is>
      </c>
      <c r="K2453">
        <f>HYPERLINK("http://gitlab.osmosys.co/incident-reporter/incident-reporter-api/-/merge_requests/4392#note_245535", "We don't use this column anymore, On qa-staging it is present but on prod it is not present")</f>
        <v/>
      </c>
      <c r="L2453" t="inlineStr">
        <is>
          <t>2025-08-01 16:13:32.386 IST</t>
        </is>
      </c>
      <c r="M2453" t="inlineStr">
        <is>
          <t>Kumar Samarjeet</t>
        </is>
      </c>
      <c r="N2453" t="inlineStr">
        <is>
          <t>Yes</t>
        </is>
      </c>
      <c r="O2453" t="inlineStr">
        <is>
          <t>Yes</t>
        </is>
      </c>
      <c r="P2453" t="inlineStr">
        <is>
          <t>Kumar Samarjeet</t>
        </is>
      </c>
      <c r="Q2453" t="inlineStr">
        <is>
          <t>Bad</t>
        </is>
      </c>
    </row>
    <row r="2454">
      <c r="A2454" t="inlineStr">
        <is>
          <t>abhinav.s</t>
        </is>
      </c>
      <c r="B2454" t="inlineStr">
        <is>
          <t>Abhinav Srivastava</t>
        </is>
      </c>
      <c r="C2454" t="inlineStr">
        <is>
          <t>abhinav.s@osmosys.co</t>
        </is>
      </c>
      <c r="D2454" t="inlineStr">
        <is>
          <t>incident-reporter</t>
        </is>
      </c>
      <c r="E2454">
        <f>HYPERLINK("http://gitlab.osmosys.co/incident-reporter/incident-reporter-api", "OQSHA-API")</f>
        <v/>
      </c>
      <c r="F2454">
        <f>HYPERLINK("http://gitlab.osmosys.co/incident-reporter/incident-reporter-api/-/merge_requests/4392", "feat: add default ptw preferences on organisation registration")</f>
        <v/>
      </c>
      <c r="G2454" t="inlineStr">
        <is>
          <t>feat/default-ptw-preferences-19</t>
        </is>
      </c>
      <c r="H2454" t="inlineStr">
        <is>
          <t>sprint-19</t>
        </is>
      </c>
      <c r="I2454" t="inlineStr">
        <is>
          <t>merged</t>
        </is>
      </c>
      <c r="J2454" t="inlineStr">
        <is>
          <t>411c6f54305d8299295bc9d3004732628b8d5b49</t>
        </is>
      </c>
      <c r="K2454">
        <f>HYPERLINK("http://gitlab.osmosys.co/incident-reporter/incident-reporter-api/-/merge_requests/4392#note_245645", "Removed this")</f>
        <v/>
      </c>
      <c r="L2454" t="inlineStr">
        <is>
          <t>2025-08-01 17:12:08.437 IST</t>
        </is>
      </c>
      <c r="M2454" t="inlineStr">
        <is>
          <t>Abhinav Srivastava</t>
        </is>
      </c>
      <c r="N2454" t="inlineStr">
        <is>
          <t>No</t>
        </is>
      </c>
      <c r="O2454" t="inlineStr">
        <is>
          <t>Yes</t>
        </is>
      </c>
      <c r="P2454" t="inlineStr">
        <is>
          <t>Kumar Samarjeet</t>
        </is>
      </c>
      <c r="Q2454" t="inlineStr">
        <is>
          <t>Bad</t>
        </is>
      </c>
    </row>
    <row r="2455">
      <c r="A2455" t="inlineStr">
        <is>
          <t>abhinav.s</t>
        </is>
      </c>
      <c r="B2455" t="inlineStr">
        <is>
          <t>Abhinav Srivastava</t>
        </is>
      </c>
      <c r="C2455" t="inlineStr">
        <is>
          <t>abhinav.s@osmosys.co</t>
        </is>
      </c>
      <c r="D2455" t="inlineStr">
        <is>
          <t>incident-reporter</t>
        </is>
      </c>
      <c r="E2455">
        <f>HYPERLINK("http://gitlab.osmosys.co/incident-reporter/incident-reporter-api", "OQSHA-API")</f>
        <v/>
      </c>
      <c r="F2455">
        <f>HYPERLINK("http://gitlab.osmosys.co/incident-reporter/incident-reporter-api/-/merge_requests/4387", "fix: add custom module name in task whatsapp notifications")</f>
        <v/>
      </c>
      <c r="G2455" t="inlineStr">
        <is>
          <t>fix/task-custom-notification-wp</t>
        </is>
      </c>
      <c r="H2455" t="inlineStr">
        <is>
          <t>sprint-18</t>
        </is>
      </c>
      <c r="I2455" t="inlineStr">
        <is>
          <t>merged</t>
        </is>
      </c>
      <c r="J2455" t="inlineStr"/>
      <c r="K2455" t="inlineStr"/>
      <c r="L2455" t="inlineStr"/>
      <c r="M2455" t="inlineStr"/>
      <c r="N2455" t="inlineStr"/>
      <c r="O2455" t="inlineStr"/>
      <c r="P2455" t="inlineStr"/>
      <c r="Q2455" t="inlineStr"/>
    </row>
    <row r="2456">
      <c r="A2456" t="inlineStr">
        <is>
          <t>abhinav.s</t>
        </is>
      </c>
      <c r="B2456" t="inlineStr">
        <is>
          <t>Abhinav Srivastava</t>
        </is>
      </c>
      <c r="C2456" t="inlineStr">
        <is>
          <t>abhinav.s@osmosys.co</t>
        </is>
      </c>
      <c r="D2456" t="inlineStr">
        <is>
          <t>incident-reporter</t>
        </is>
      </c>
      <c r="E2456">
        <f>HYPERLINK("http://gitlab.osmosys.co/incident-reporter/incident-reporter-api", "OQSHA-API")</f>
        <v/>
      </c>
      <c r="F2456">
        <f>HYPERLINK("http://gitlab.osmosys.co/incident-reporter/incident-reporter-api/-/merge_requests/4380", "feat: support  custom module name for tasks module")</f>
        <v/>
      </c>
      <c r="G2456" t="inlineStr">
        <is>
          <t>feat/task-custom-name</t>
        </is>
      </c>
      <c r="H2456" t="inlineStr">
        <is>
          <t>sprint-18</t>
        </is>
      </c>
      <c r="I2456" t="inlineStr">
        <is>
          <t>merged</t>
        </is>
      </c>
      <c r="J2456" t="inlineStr"/>
      <c r="K2456" t="inlineStr"/>
      <c r="L2456" t="inlineStr"/>
      <c r="M2456" t="inlineStr"/>
      <c r="N2456" t="inlineStr"/>
      <c r="O2456" t="inlineStr"/>
      <c r="P2456" t="inlineStr"/>
      <c r="Q2456" t="inlineStr"/>
    </row>
    <row r="2457">
      <c r="A2457" t="inlineStr">
        <is>
          <t>abhinav.s</t>
        </is>
      </c>
      <c r="B2457" t="inlineStr">
        <is>
          <t>Abhinav Srivastava</t>
        </is>
      </c>
      <c r="C2457" t="inlineStr">
        <is>
          <t>abhinav.s@osmosys.co</t>
        </is>
      </c>
      <c r="D2457" t="inlineStr">
        <is>
          <t>incident-reporter</t>
        </is>
      </c>
      <c r="E2457">
        <f>HYPERLINK("http://gitlab.osmosys.co/incident-reporter/incident-reporter-api", "OQSHA-API")</f>
        <v/>
      </c>
      <c r="F2457">
        <f>HYPERLINK("http://gitlab.osmosys.co/incident-reporter/incident-reporter-api/-/merge_requests/4367", "fix: add migration for hira status and handle empty task title  in notifications")</f>
        <v/>
      </c>
      <c r="G2457" t="inlineStr">
        <is>
          <t>fix/task-title-notifications</t>
        </is>
      </c>
      <c r="H2457" t="inlineStr">
        <is>
          <t>sprint-18</t>
        </is>
      </c>
      <c r="I2457" t="inlineStr">
        <is>
          <t>merged</t>
        </is>
      </c>
      <c r="J2457" t="inlineStr"/>
      <c r="K2457" t="inlineStr"/>
      <c r="L2457" t="inlineStr"/>
      <c r="M2457" t="inlineStr"/>
      <c r="N2457" t="inlineStr"/>
      <c r="O2457" t="inlineStr"/>
      <c r="P2457" t="inlineStr"/>
      <c r="Q2457" t="inlineStr"/>
    </row>
    <row r="2458">
      <c r="A2458" t="inlineStr">
        <is>
          <t>abhinav.s</t>
        </is>
      </c>
      <c r="B2458" t="inlineStr">
        <is>
          <t>Abhinav Srivastava</t>
        </is>
      </c>
      <c r="C2458" t="inlineStr">
        <is>
          <t>abhinav.s@osmosys.co</t>
        </is>
      </c>
      <c r="D2458" t="inlineStr">
        <is>
          <t>incident-reporter</t>
        </is>
      </c>
      <c r="E2458">
        <f>HYPERLINK("http://gitlab.osmosys.co/incident-reporter/incident-reporter-api", "OQSHA-API")</f>
        <v/>
      </c>
      <c r="F2458">
        <f>HYPERLINK("http://gitlab.osmosys.co/incident-reporter/incident-reporter-api/-/merge_requests/4364", "fix: ttkbugs - safety alert export, library shortcode, HIRA draft, task title removal")</f>
        <v/>
      </c>
      <c r="G2458" t="inlineStr">
        <is>
          <t>fix/ttk-bugs-task-incident</t>
        </is>
      </c>
      <c r="H2458" t="inlineStr">
        <is>
          <t>sprint-18</t>
        </is>
      </c>
      <c r="I2458" t="inlineStr">
        <is>
          <t>merged</t>
        </is>
      </c>
      <c r="J2458" t="inlineStr"/>
      <c r="K2458" t="inlineStr"/>
      <c r="L2458" t="inlineStr"/>
      <c r="M2458" t="inlineStr"/>
      <c r="N2458" t="inlineStr"/>
      <c r="O2458" t="inlineStr"/>
      <c r="P2458" t="inlineStr"/>
      <c r="Q2458" t="inlineStr"/>
    </row>
    <row r="2459">
      <c r="A2459" t="inlineStr">
        <is>
          <t>abhinav.s</t>
        </is>
      </c>
      <c r="B2459" t="inlineStr">
        <is>
          <t>Abhinav Srivastava</t>
        </is>
      </c>
      <c r="C2459" t="inlineStr">
        <is>
          <t>abhinav.s@osmosys.co</t>
        </is>
      </c>
      <c r="D2459" t="inlineStr">
        <is>
          <t>incident-reporter</t>
        </is>
      </c>
      <c r="E2459">
        <f>HYPERLINK("http://gitlab.osmosys.co/incident-reporter/incident-reporter-api", "OQSHA-API")</f>
        <v/>
      </c>
      <c r="F2459">
        <f>HYPERLINK("http://gitlab.osmosys.co/incident-reporter/incident-reporter-api/-/merge_requests/4353", "fix: change property name to entity id and entity uid in task list api")</f>
        <v/>
      </c>
      <c r="G2459" t="inlineStr">
        <is>
          <t>fix/task-entity</t>
        </is>
      </c>
      <c r="H2459" t="inlineStr">
        <is>
          <t>sprint-18</t>
        </is>
      </c>
      <c r="I2459" t="inlineStr">
        <is>
          <t>merged</t>
        </is>
      </c>
      <c r="J2459" t="inlineStr"/>
      <c r="K2459" t="inlineStr"/>
      <c r="L2459" t="inlineStr"/>
      <c r="M2459" t="inlineStr"/>
      <c r="N2459" t="inlineStr"/>
      <c r="O2459" t="inlineStr"/>
      <c r="P2459" t="inlineStr"/>
      <c r="Q2459" t="inlineStr"/>
    </row>
    <row r="2460">
      <c r="A2460" t="inlineStr">
        <is>
          <t>abhinav.s</t>
        </is>
      </c>
      <c r="B2460" t="inlineStr">
        <is>
          <t>Abhinav Srivastava</t>
        </is>
      </c>
      <c r="C2460" t="inlineStr">
        <is>
          <t>abhinav.s@osmosys.co</t>
        </is>
      </c>
      <c r="D2460" t="inlineStr">
        <is>
          <t>incident-reporter</t>
        </is>
      </c>
      <c r="E2460">
        <f>HYPERLINK("http://gitlab.osmosys.co/incident-reporter/incident-reporter-api", "OQSHA-API")</f>
        <v/>
      </c>
      <c r="F2460">
        <f>HYPERLINK("http://gitlab.osmosys.co/incident-reporter/incident-reporter-api/-/merge_requests/4349", "refactor: replace ticket_tasks with entity_tasks across APIs and migrate existing data")</f>
        <v/>
      </c>
      <c r="G2460" t="inlineStr">
        <is>
          <t>feat/entity-task</t>
        </is>
      </c>
      <c r="H2460" t="inlineStr">
        <is>
          <t>sprint-18</t>
        </is>
      </c>
      <c r="I2460" t="inlineStr">
        <is>
          <t>merged</t>
        </is>
      </c>
      <c r="J2460" t="inlineStr"/>
      <c r="K2460" t="inlineStr"/>
      <c r="L2460" t="inlineStr"/>
      <c r="M2460" t="inlineStr"/>
      <c r="N2460" t="inlineStr"/>
      <c r="O2460" t="inlineStr"/>
      <c r="P2460" t="inlineStr"/>
      <c r="Q2460" t="inlineStr"/>
    </row>
    <row r="2461">
      <c r="A2461" t="inlineStr">
        <is>
          <t>abhinav.s</t>
        </is>
      </c>
      <c r="B2461" t="inlineStr">
        <is>
          <t>Abhinav Srivastava</t>
        </is>
      </c>
      <c r="C2461" t="inlineStr">
        <is>
          <t>abhinav.s@osmosys.co</t>
        </is>
      </c>
      <c r="D2461" t="inlineStr">
        <is>
          <t>incident-reporter</t>
        </is>
      </c>
      <c r="E2461">
        <f>HYPERLINK("http://gitlab.osmosys.co/incident-reporter/incident-reporter-api", "OQSHA-API")</f>
        <v/>
      </c>
      <c r="F2461">
        <f>HYPERLINK("http://gitlab.osmosys.co/incident-reporter/incident-reporter-api/-/merge_requests/4332", "fix: remove osmoguard attribute from get all ptw job type page")</f>
        <v/>
      </c>
      <c r="G2461" t="inlineStr">
        <is>
          <t>fix/remove-osmoguard-attribute</t>
        </is>
      </c>
      <c r="H2461" t="inlineStr">
        <is>
          <t>sprint-17</t>
        </is>
      </c>
      <c r="I2461" t="inlineStr">
        <is>
          <t>merged</t>
        </is>
      </c>
      <c r="J2461" t="inlineStr"/>
      <c r="K2461" t="inlineStr"/>
      <c r="L2461" t="inlineStr"/>
      <c r="M2461" t="inlineStr"/>
      <c r="N2461" t="inlineStr"/>
      <c r="O2461" t="inlineStr"/>
      <c r="P2461" t="inlineStr"/>
      <c r="Q2461" t="inlineStr"/>
    </row>
    <row r="2462">
      <c r="A2462" t="inlineStr">
        <is>
          <t>abhinav.s</t>
        </is>
      </c>
      <c r="B2462" t="inlineStr">
        <is>
          <t>Abhinav Srivastava</t>
        </is>
      </c>
      <c r="C2462" t="inlineStr">
        <is>
          <t>abhinav.s@osmosys.co</t>
        </is>
      </c>
      <c r="D2462" t="inlineStr">
        <is>
          <t>incident-reporter</t>
        </is>
      </c>
      <c r="E2462">
        <f>HYPERLINK("http://gitlab.osmosys.co/incident-reporter/incident-reporter-api", "OQSHA-API")</f>
        <v/>
      </c>
      <c r="F2462">
        <f>HYPERLINK("http://gitlab.osmosys.co/incident-reporter/incident-reporter-api/-/merge_requests/4308", "fix: correct the name of Safety Alert category in migration")</f>
        <v/>
      </c>
      <c r="G2462" t="inlineStr">
        <is>
          <t>fix/syntax-issue</t>
        </is>
      </c>
      <c r="H2462" t="inlineStr">
        <is>
          <t>sprint-17</t>
        </is>
      </c>
      <c r="I2462" t="inlineStr">
        <is>
          <t>merged</t>
        </is>
      </c>
      <c r="J2462" t="inlineStr"/>
      <c r="K2462" t="inlineStr"/>
      <c r="L2462" t="inlineStr"/>
      <c r="M2462" t="inlineStr"/>
      <c r="N2462" t="inlineStr"/>
      <c r="O2462" t="inlineStr"/>
      <c r="P2462" t="inlineStr"/>
      <c r="Q2462" t="inlineStr"/>
    </row>
    <row r="2463">
      <c r="A2463" t="inlineStr">
        <is>
          <t>abhinav.s</t>
        </is>
      </c>
      <c r="B2463" t="inlineStr">
        <is>
          <t>Abhinav Srivastava</t>
        </is>
      </c>
      <c r="C2463" t="inlineStr">
        <is>
          <t>abhinav.s@osmosys.co</t>
        </is>
      </c>
      <c r="D2463" t="inlineStr">
        <is>
          <t>incident-reporter</t>
        </is>
      </c>
      <c r="E2463">
        <f>HYPERLINK("http://gitlab.osmosys.co/incident-reporter/incident-reporter-api", "OQSHA-API")</f>
        <v/>
      </c>
      <c r="F2463">
        <f>HYPERLINK("http://gitlab.osmosys.co/incident-reporter/incident-reporter-api/-/merge_requests/4296", "feat: add rank column in task_statuses table and update GetAllTaskStatuses API to support sorting based on rank")</f>
        <v/>
      </c>
      <c r="G2463" t="inlineStr">
        <is>
          <t>fix/task-statuses</t>
        </is>
      </c>
      <c r="H2463" t="inlineStr">
        <is>
          <t>sprint-17</t>
        </is>
      </c>
      <c r="I2463" t="inlineStr">
        <is>
          <t>merged</t>
        </is>
      </c>
      <c r="J2463" t="inlineStr"/>
      <c r="K2463" t="inlineStr"/>
      <c r="L2463" t="inlineStr"/>
      <c r="M2463" t="inlineStr"/>
      <c r="N2463" t="inlineStr"/>
      <c r="O2463" t="inlineStr"/>
      <c r="P2463" t="inlineStr"/>
      <c r="Q2463" t="inlineStr"/>
    </row>
    <row r="2464">
      <c r="A2464" t="inlineStr">
        <is>
          <t>abhinav.s</t>
        </is>
      </c>
      <c r="B2464" t="inlineStr">
        <is>
          <t>Abhinav Srivastava</t>
        </is>
      </c>
      <c r="C2464" t="inlineStr">
        <is>
          <t>abhinav.s@osmosys.co</t>
        </is>
      </c>
      <c r="D2464" t="inlineStr">
        <is>
          <t>incident-reporter</t>
        </is>
      </c>
      <c r="E2464">
        <f>HYPERLINK("http://gitlab.osmosys.co/incident-reporter/incident-reporter-api", "OQSHA-API")</f>
        <v/>
      </c>
      <c r="F2464">
        <f>HYPERLINK("http://gitlab.osmosys.co/incident-reporter/incident-reporter-api/-/merge_requests/4291", "feat: send notification for auto-created tasks from tickets")</f>
        <v/>
      </c>
      <c r="G2464" t="inlineStr">
        <is>
          <t>feat/add-system-generated-notifcation</t>
        </is>
      </c>
      <c r="H2464" t="inlineStr">
        <is>
          <t>sprint-17</t>
        </is>
      </c>
      <c r="I2464" t="inlineStr">
        <is>
          <t>merged</t>
        </is>
      </c>
      <c r="J2464" t="inlineStr"/>
      <c r="K2464" t="inlineStr"/>
      <c r="L2464" t="inlineStr"/>
      <c r="M2464" t="inlineStr"/>
      <c r="N2464" t="inlineStr"/>
      <c r="O2464" t="inlineStr"/>
      <c r="P2464" t="inlineStr"/>
      <c r="Q2464" t="inlineStr"/>
    </row>
    <row r="2465">
      <c r="A2465" t="inlineStr">
        <is>
          <t>abhinav.s</t>
        </is>
      </c>
      <c r="B2465" t="inlineStr">
        <is>
          <t>Abhinav Srivastava</t>
        </is>
      </c>
      <c r="C2465" t="inlineStr">
        <is>
          <t>abhinav.s@osmosys.co</t>
        </is>
      </c>
      <c r="D2465" t="inlineStr">
        <is>
          <t>incident-reporter</t>
        </is>
      </c>
      <c r="E2465">
        <f>HYPERLINK("http://gitlab.osmosys.co/incident-reporter/incident-reporter-api", "OQSHA-API")</f>
        <v/>
      </c>
      <c r="F2465">
        <f>HYPERLINK("http://gitlab.osmosys.co/incident-reporter/incident-reporter-api/-/merge_requests/4284", "fix: add department id property in moc signature config for put/post/get moc category api")</f>
        <v/>
      </c>
      <c r="G2465" t="inlineStr">
        <is>
          <t>fix/moc-department</t>
        </is>
      </c>
      <c r="H2465" t="inlineStr">
        <is>
          <t>sprint-17</t>
        </is>
      </c>
      <c r="I2465" t="inlineStr">
        <is>
          <t>merged</t>
        </is>
      </c>
      <c r="J2465" t="inlineStr"/>
      <c r="K2465" t="inlineStr"/>
      <c r="L2465" t="inlineStr"/>
      <c r="M2465" t="inlineStr"/>
      <c r="N2465" t="inlineStr"/>
      <c r="O2465" t="inlineStr"/>
      <c r="P2465" t="inlineStr"/>
      <c r="Q2465" t="inlineStr"/>
    </row>
    <row r="2466">
      <c r="A2466" t="inlineStr">
        <is>
          <t>abhinav.s</t>
        </is>
      </c>
      <c r="B2466" t="inlineStr">
        <is>
          <t>Abhinav Srivastava</t>
        </is>
      </c>
      <c r="C2466" t="inlineStr">
        <is>
          <t>abhinav.s@osmosys.co</t>
        </is>
      </c>
      <c r="D2466" t="inlineStr">
        <is>
          <t>incident-reporter</t>
        </is>
      </c>
      <c r="E2466">
        <f>HYPERLINK("http://gitlab.osmosys.co/incident-reporter/incident-reporter-api", "OQSHA-API")</f>
        <v/>
      </c>
      <c r="F2466">
        <f>HYPERLINK("http://gitlab.osmosys.co/incident-reporter/incident-reporter-api/-/merge_requests/4281", "fix: fix ticket task association for ticket uid")</f>
        <v/>
      </c>
      <c r="G2466" t="inlineStr">
        <is>
          <t>fix/ticket-task-association</t>
        </is>
      </c>
      <c r="H2466" t="inlineStr">
        <is>
          <t>sprint-17</t>
        </is>
      </c>
      <c r="I2466" t="inlineStr">
        <is>
          <t>merged</t>
        </is>
      </c>
      <c r="J2466" t="inlineStr"/>
      <c r="K2466" t="inlineStr"/>
      <c r="L2466" t="inlineStr"/>
      <c r="M2466" t="inlineStr"/>
      <c r="N2466" t="inlineStr"/>
      <c r="O2466" t="inlineStr"/>
      <c r="P2466" t="inlineStr"/>
      <c r="Q2466" t="inlineStr"/>
    </row>
    <row r="2467">
      <c r="A2467" t="inlineStr">
        <is>
          <t>abhinav.s</t>
        </is>
      </c>
      <c r="B2467" t="inlineStr">
        <is>
          <t>Abhinav Srivastava</t>
        </is>
      </c>
      <c r="C2467" t="inlineStr">
        <is>
          <t>abhinav.s@osmosys.co</t>
        </is>
      </c>
      <c r="D2467" t="inlineStr">
        <is>
          <t>incident-reporter</t>
        </is>
      </c>
      <c r="E2467">
        <f>HYPERLINK("http://gitlab.osmosys.co/incident-reporter/incident-reporter-api", "OQSHA-API")</f>
        <v/>
      </c>
      <c r="F2467">
        <f>HYPERLINK("http://gitlab.osmosys.co/incident-reporter/incident-reporter-api/-/merge_requests/4277", "fix: change system generated task title to be dynamic as per ticket module custom name")</f>
        <v/>
      </c>
      <c r="G2467" t="inlineStr">
        <is>
          <t>fix/task-title</t>
        </is>
      </c>
      <c r="H2467" t="inlineStr">
        <is>
          <t>sprint-17</t>
        </is>
      </c>
      <c r="I2467" t="inlineStr">
        <is>
          <t>merged</t>
        </is>
      </c>
      <c r="J2467" t="inlineStr"/>
      <c r="K2467" t="inlineStr"/>
      <c r="L2467" t="inlineStr"/>
      <c r="M2467" t="inlineStr"/>
      <c r="N2467" t="inlineStr"/>
      <c r="O2467" t="inlineStr"/>
      <c r="P2467" t="inlineStr"/>
      <c r="Q2467" t="inlineStr"/>
    </row>
    <row r="2468">
      <c r="A2468" t="inlineStr">
        <is>
          <t>abhinav.s</t>
        </is>
      </c>
      <c r="B2468" t="inlineStr">
        <is>
          <t>Abhinav Srivastava</t>
        </is>
      </c>
      <c r="C2468" t="inlineStr">
        <is>
          <t>abhinav.s@osmosys.co</t>
        </is>
      </c>
      <c r="D2468" t="inlineStr">
        <is>
          <t>incident-reporter</t>
        </is>
      </c>
      <c r="E2468">
        <f>HYPERLINK("http://gitlab.osmosys.co/incident-reporter/incident-reporter-api", "OQSHA-API")</f>
        <v/>
      </c>
      <c r="F2468">
        <f>HYPERLINK("http://gitlab.osmosys.co/incident-reporter/incident-reporter-api/-/merge_requests/4273", "fix: fix syntax error in fluent migration")</f>
        <v/>
      </c>
      <c r="G2468" t="inlineStr">
        <is>
          <t>fix/fluent-migration-source-task</t>
        </is>
      </c>
      <c r="H2468" t="inlineStr">
        <is>
          <t>sprint-17</t>
        </is>
      </c>
      <c r="I2468" t="inlineStr">
        <is>
          <t>merged</t>
        </is>
      </c>
      <c r="J2468" t="inlineStr"/>
      <c r="K2468" t="inlineStr"/>
      <c r="L2468" t="inlineStr"/>
      <c r="M2468" t="inlineStr"/>
      <c r="N2468" t="inlineStr"/>
      <c r="O2468" t="inlineStr"/>
      <c r="P2468" t="inlineStr"/>
      <c r="Q2468" t="inlineStr"/>
    </row>
    <row r="2469">
      <c r="A2469" t="inlineStr">
        <is>
          <t>abhinav.s</t>
        </is>
      </c>
      <c r="B2469" t="inlineStr">
        <is>
          <t>Abhinav Srivastava</t>
        </is>
      </c>
      <c r="C2469" t="inlineStr">
        <is>
          <t>abhinav.s@osmosys.co</t>
        </is>
      </c>
      <c r="D2469" t="inlineStr">
        <is>
          <t>incident-reporter</t>
        </is>
      </c>
      <c r="E2469">
        <f>HYPERLINK("http://gitlab.osmosys.co/incident-reporter/incident-reporter-api", "OQSHA-API")</f>
        <v/>
      </c>
      <c r="F2469">
        <f>HYPERLINK("http://gitlab.osmosys.co/incident-reporter/incident-reporter-api/-/merge_requests/4272", "fix: fix syntax error in fluent migration")</f>
        <v/>
      </c>
      <c r="G2469" t="inlineStr">
        <is>
          <t>fix/fluent-migration</t>
        </is>
      </c>
      <c r="H2469" t="inlineStr">
        <is>
          <t>sprint-17</t>
        </is>
      </c>
      <c r="I2469" t="inlineStr">
        <is>
          <t>opened</t>
        </is>
      </c>
      <c r="J2469" t="inlineStr"/>
      <c r="K2469" t="inlineStr"/>
      <c r="L2469" t="inlineStr"/>
      <c r="M2469" t="inlineStr"/>
      <c r="N2469" t="inlineStr"/>
      <c r="O2469" t="inlineStr"/>
      <c r="P2469" t="inlineStr"/>
      <c r="Q2469" t="inlineStr"/>
    </row>
    <row r="2470">
      <c r="A2470" t="inlineStr">
        <is>
          <t>abhinav.s</t>
        </is>
      </c>
      <c r="B2470" t="inlineStr">
        <is>
          <t>Abhinav Srivastava</t>
        </is>
      </c>
      <c r="C2470" t="inlineStr">
        <is>
          <t>abhinav.s@osmosys.co</t>
        </is>
      </c>
      <c r="D2470" t="inlineStr">
        <is>
          <t>incident-reporter</t>
        </is>
      </c>
      <c r="E2470">
        <f>HYPERLINK("http://gitlab.osmosys.co/incident-reporter/incident-reporter-api", "OQSHA-API")</f>
        <v/>
      </c>
      <c r="F2470">
        <f>HYPERLINK("http://gitlab.osmosys.co/incident-reporter/incident-reporter-api/-/merge_requests/4267", "feat: fix auto task creation flow for tickets module and  get task list API")</f>
        <v/>
      </c>
      <c r="G2470" t="inlineStr">
        <is>
          <t>fix/ticket-task-creation</t>
        </is>
      </c>
      <c r="H2470" t="inlineStr">
        <is>
          <t>sprint-17</t>
        </is>
      </c>
      <c r="I2470" t="inlineStr">
        <is>
          <t>merged</t>
        </is>
      </c>
      <c r="J2470" t="inlineStr"/>
      <c r="K2470" t="inlineStr"/>
      <c r="L2470" t="inlineStr"/>
      <c r="M2470" t="inlineStr"/>
      <c r="N2470" t="inlineStr"/>
      <c r="O2470" t="inlineStr"/>
      <c r="P2470" t="inlineStr"/>
      <c r="Q2470" t="inlineStr"/>
    </row>
    <row r="2471">
      <c r="A2471" t="inlineStr">
        <is>
          <t>abhinav.s</t>
        </is>
      </c>
      <c r="B2471" t="inlineStr">
        <is>
          <t>Abhinav Srivastava</t>
        </is>
      </c>
      <c r="C2471" t="inlineStr">
        <is>
          <t>abhinav.s@osmosys.co</t>
        </is>
      </c>
      <c r="D2471" t="inlineStr">
        <is>
          <t>incident-reporter</t>
        </is>
      </c>
      <c r="E2471">
        <f>HYPERLINK("http://gitlab.osmosys.co/incident-reporter/incident-reporter-api", "OQSHA-API")</f>
        <v/>
      </c>
      <c r="F2471">
        <f>HYPERLINK("http://gitlab.osmosys.co/incident-reporter/incident-reporter-api/-/merge_requests/4249", "feat: add sorting on incident new columns &amp; create API for task category dropdown")</f>
        <v/>
      </c>
      <c r="G2471" t="inlineStr">
        <is>
          <t>feat/ticket-reportedby</t>
        </is>
      </c>
      <c r="H2471" t="inlineStr">
        <is>
          <t>sprint-17</t>
        </is>
      </c>
      <c r="I2471" t="inlineStr">
        <is>
          <t>merged</t>
        </is>
      </c>
      <c r="J2471" t="inlineStr"/>
      <c r="K2471" t="inlineStr"/>
      <c r="L2471" t="inlineStr"/>
      <c r="M2471" t="inlineStr"/>
      <c r="N2471" t="inlineStr"/>
      <c r="O2471" t="inlineStr"/>
      <c r="P2471" t="inlineStr"/>
      <c r="Q2471" t="inlineStr"/>
    </row>
    <row r="2472">
      <c r="A2472" t="inlineStr">
        <is>
          <t>abhinav.s</t>
        </is>
      </c>
      <c r="B2472" t="inlineStr">
        <is>
          <t>Abhinav Srivastava</t>
        </is>
      </c>
      <c r="C2472" t="inlineStr">
        <is>
          <t>abhinav.s@osmosys.co</t>
        </is>
      </c>
      <c r="D2472" t="inlineStr">
        <is>
          <t>incident-reporter</t>
        </is>
      </c>
      <c r="E2472">
        <f>HYPERLINK("http://gitlab.osmosys.co/incident-reporter/incident-reporter-api", "OQSHA-API")</f>
        <v/>
      </c>
      <c r="F2472">
        <f>HYPERLINK("http://gitlab.osmosys.co/incident-reporter/incident-reporter-api/-/merge_requests/4246", "feat: send notifications to inform-to users/roles after ptw moves to start work")</f>
        <v/>
      </c>
      <c r="G2472" t="inlineStr">
        <is>
          <t>feat/ptw-inform-to-18</t>
        </is>
      </c>
      <c r="H2472" t="inlineStr">
        <is>
          <t>sprint-18</t>
        </is>
      </c>
      <c r="I2472" t="inlineStr">
        <is>
          <t>opened</t>
        </is>
      </c>
      <c r="J2472" t="inlineStr"/>
      <c r="K2472" t="inlineStr"/>
      <c r="L2472" t="inlineStr"/>
      <c r="M2472" t="inlineStr"/>
      <c r="N2472" t="inlineStr"/>
      <c r="O2472" t="inlineStr"/>
      <c r="P2472" t="inlineStr"/>
      <c r="Q2472" t="inlineStr"/>
    </row>
    <row r="2473">
      <c r="A2473" t="inlineStr">
        <is>
          <t>abhinav.s</t>
        </is>
      </c>
      <c r="B2473" t="inlineStr">
        <is>
          <t>Abhinav Srivastava</t>
        </is>
      </c>
      <c r="C2473" t="inlineStr">
        <is>
          <t>abhinav.s@osmosys.co</t>
        </is>
      </c>
      <c r="D2473" t="inlineStr">
        <is>
          <t>incident-reporter</t>
        </is>
      </c>
      <c r="E2473">
        <f>HYPERLINK("http://gitlab.osmosys.co/incident-reporter/incident-reporter-api", "OQSHA-API")</f>
        <v/>
      </c>
      <c r="F2473">
        <f>HYPERLINK("http://gitlab.osmosys.co/incident-reporter/incident-reporter-api/-/merge_requests/4238", "feat: send notifications to inform-to users/roles after ptw moves to start work")</f>
        <v/>
      </c>
      <c r="G2473" t="inlineStr">
        <is>
          <t>feat/ptw-inform-to</t>
        </is>
      </c>
      <c r="H2473" t="inlineStr">
        <is>
          <t>sprint-17</t>
        </is>
      </c>
      <c r="I2473" t="inlineStr">
        <is>
          <t>opened</t>
        </is>
      </c>
      <c r="J2473" t="inlineStr"/>
      <c r="K2473" t="inlineStr"/>
      <c r="L2473" t="inlineStr"/>
      <c r="M2473" t="inlineStr"/>
      <c r="N2473" t="inlineStr"/>
      <c r="O2473" t="inlineStr"/>
      <c r="P2473" t="inlineStr"/>
      <c r="Q2473" t="inlineStr"/>
    </row>
    <row r="2474">
      <c r="A2474" t="inlineStr">
        <is>
          <t>abhinav.s</t>
        </is>
      </c>
      <c r="B2474" t="inlineStr">
        <is>
          <t>Abhinav Srivastava</t>
        </is>
      </c>
      <c r="C2474" t="inlineStr">
        <is>
          <t>abhinav.s@osmosys.co</t>
        </is>
      </c>
      <c r="D2474" t="inlineStr">
        <is>
          <t>incident-reporter</t>
        </is>
      </c>
      <c r="E2474">
        <f>HYPERLINK("http://gitlab.osmosys.co/incident-reporter/incident-reporter-api", "OQSHA-API")</f>
        <v/>
      </c>
      <c r="F2474">
        <f>HYPERLINK("http://gitlab.osmosys.co/incident-reporter/incident-reporter-api/-/merge_requests/4226", "fix: revert resource error message")</f>
        <v/>
      </c>
      <c r="G2474" t="inlineStr">
        <is>
          <t>fix/resources</t>
        </is>
      </c>
      <c r="H2474" t="inlineStr">
        <is>
          <t>sprint-17</t>
        </is>
      </c>
      <c r="I2474" t="inlineStr">
        <is>
          <t>merged</t>
        </is>
      </c>
      <c r="J2474" t="inlineStr">
        <is>
          <t>1ed614cd992cef6e71faa35d5b2ad3803ff82dc8</t>
        </is>
      </c>
      <c r="K2474">
        <f>HYPERLINK("http://gitlab.osmosys.co/incident-reporter/incident-reporter-api/-/merge_requests/4226#note_238600", "Is the BaseResponse valid?")</f>
        <v/>
      </c>
      <c r="L2474" t="inlineStr">
        <is>
          <t>2025-07-17 22:51:20.477 IST</t>
        </is>
      </c>
      <c r="M2474" t="inlineStr">
        <is>
          <t>Sindhusha</t>
        </is>
      </c>
      <c r="N2474" t="inlineStr">
        <is>
          <t>Yes</t>
        </is>
      </c>
      <c r="O2474" t="inlineStr">
        <is>
          <t>Yes</t>
        </is>
      </c>
      <c r="P2474" t="inlineStr">
        <is>
          <t>Sindhusha</t>
        </is>
      </c>
      <c r="Q2474" t="inlineStr">
        <is>
          <t>Neutral</t>
        </is>
      </c>
    </row>
    <row r="2475">
      <c r="A2475" t="inlineStr">
        <is>
          <t>abhinav.s</t>
        </is>
      </c>
      <c r="B2475" t="inlineStr">
        <is>
          <t>Abhinav Srivastava</t>
        </is>
      </c>
      <c r="C2475" t="inlineStr">
        <is>
          <t>abhinav.s@osmosys.co</t>
        </is>
      </c>
      <c r="D2475" t="inlineStr">
        <is>
          <t>incident-reporter</t>
        </is>
      </c>
      <c r="E2475">
        <f>HYPERLINK("http://gitlab.osmosys.co/incident-reporter/incident-reporter-api", "OQSHA-API")</f>
        <v/>
      </c>
      <c r="F2475">
        <f>HYPERLINK("http://gitlab.osmosys.co/incident-reporter/incident-reporter-api/-/merge_requests/4226", "fix: revert resource error message")</f>
        <v/>
      </c>
      <c r="G2475" t="inlineStr">
        <is>
          <t>fix/resources</t>
        </is>
      </c>
      <c r="H2475" t="inlineStr">
        <is>
          <t>sprint-17</t>
        </is>
      </c>
      <c r="I2475" t="inlineStr">
        <is>
          <t>merged</t>
        </is>
      </c>
      <c r="J2475" t="inlineStr">
        <is>
          <t>1ed614cd992cef6e71faa35d5b2ad3803ff82dc8</t>
        </is>
      </c>
      <c r="K2475">
        <f>HYPERLINK("http://gitlab.osmosys.co/incident-reporter/incident-reporter-api/-/merge_requests/4226#note_238601", "yes I have reverted it as per sprint-16 change")</f>
        <v/>
      </c>
      <c r="L2475" t="inlineStr">
        <is>
          <t>2025-07-17 22:52:25.343 IST</t>
        </is>
      </c>
      <c r="M2475" t="inlineStr">
        <is>
          <t>Abhinav Srivastava</t>
        </is>
      </c>
      <c r="N2475" t="inlineStr">
        <is>
          <t>No</t>
        </is>
      </c>
      <c r="O2475" t="inlineStr">
        <is>
          <t>Yes</t>
        </is>
      </c>
      <c r="P2475" t="inlineStr">
        <is>
          <t>Sindhusha</t>
        </is>
      </c>
      <c r="Q2475" t="inlineStr">
        <is>
          <t>Neutral</t>
        </is>
      </c>
    </row>
    <row r="2476">
      <c r="A2476" t="inlineStr">
        <is>
          <t>abhinav.s</t>
        </is>
      </c>
      <c r="B2476" t="inlineStr">
        <is>
          <t>Abhinav Srivastava</t>
        </is>
      </c>
      <c r="C2476" t="inlineStr">
        <is>
          <t>abhinav.s@osmosys.co</t>
        </is>
      </c>
      <c r="D2476" t="inlineStr">
        <is>
          <t>incident-reporter</t>
        </is>
      </c>
      <c r="E2476">
        <f>HYPERLINK("http://gitlab.osmosys.co/incident-reporter/incident-reporter-api", "OQSHA-API")</f>
        <v/>
      </c>
      <c r="F2476">
        <f>HYPERLINK("http://gitlab.osmosys.co/incident-reporter/incident-reporter-api/-/merge_requests/4226", "fix: revert resource error message")</f>
        <v/>
      </c>
      <c r="G2476" t="inlineStr">
        <is>
          <t>fix/resources</t>
        </is>
      </c>
      <c r="H2476" t="inlineStr">
        <is>
          <t>sprint-17</t>
        </is>
      </c>
      <c r="I2476" t="inlineStr">
        <is>
          <t>merged</t>
        </is>
      </c>
      <c r="J2476" t="inlineStr">
        <is>
          <t>1ed614cd992cef6e71faa35d5b2ad3803ff82dc8</t>
        </is>
      </c>
      <c r="K2476">
        <f>HYPERLINK("http://gitlab.osmosys.co/incident-reporter/incident-reporter-api/-/merge_requests/4226#note_238602", "it was like that only")</f>
        <v/>
      </c>
      <c r="L2476" t="inlineStr">
        <is>
          <t>2025-07-17 22:52:35.389 IST</t>
        </is>
      </c>
      <c r="M2476" t="inlineStr">
        <is>
          <t>Abhinav Srivastava</t>
        </is>
      </c>
      <c r="N2476" t="inlineStr">
        <is>
          <t>No</t>
        </is>
      </c>
      <c r="O2476" t="inlineStr">
        <is>
          <t>Yes</t>
        </is>
      </c>
      <c r="P2476" t="inlineStr">
        <is>
          <t>Sindhusha</t>
        </is>
      </c>
      <c r="Q2476" t="inlineStr">
        <is>
          <t>Neutral</t>
        </is>
      </c>
    </row>
    <row r="2477">
      <c r="A2477" t="inlineStr">
        <is>
          <t>abhinav.s</t>
        </is>
      </c>
      <c r="B2477" t="inlineStr">
        <is>
          <t>Abhinav Srivastava</t>
        </is>
      </c>
      <c r="C2477" t="inlineStr">
        <is>
          <t>abhinav.s@osmosys.co</t>
        </is>
      </c>
      <c r="D2477" t="inlineStr">
        <is>
          <t>incident-reporter</t>
        </is>
      </c>
      <c r="E2477">
        <f>HYPERLINK("http://gitlab.osmosys.co/incident-reporter/incident-reporter-api", "OQSHA-API")</f>
        <v/>
      </c>
      <c r="F2477">
        <f>HYPERLINK("http://gitlab.osmosys.co/incident-reporter/incident-reporter-api/-/merge_requests/4222", "fix: remove migration for app department modules")</f>
        <v/>
      </c>
      <c r="G2477" t="inlineStr">
        <is>
          <t>fix/remove-app-department</t>
        </is>
      </c>
      <c r="H2477" t="inlineStr">
        <is>
          <t>sprint-17</t>
        </is>
      </c>
      <c r="I2477" t="inlineStr">
        <is>
          <t>merged</t>
        </is>
      </c>
      <c r="J2477" t="inlineStr"/>
      <c r="K2477" t="inlineStr"/>
      <c r="L2477" t="inlineStr"/>
      <c r="M2477" t="inlineStr"/>
      <c r="N2477" t="inlineStr"/>
      <c r="O2477" t="inlineStr"/>
      <c r="P2477" t="inlineStr"/>
      <c r="Q2477" t="inlineStr"/>
    </row>
    <row r="2478">
      <c r="A2478" t="inlineStr">
        <is>
          <t>abhinav.s</t>
        </is>
      </c>
      <c r="B2478" t="inlineStr">
        <is>
          <t>Abhinav Srivastava</t>
        </is>
      </c>
      <c r="C2478" t="inlineStr">
        <is>
          <t>abhinav.s@osmosys.co</t>
        </is>
      </c>
      <c r="D2478" t="inlineStr">
        <is>
          <t>incident-reporter</t>
        </is>
      </c>
      <c r="E2478">
        <f>HYPERLINK("http://gitlab.osmosys.co/incident-reporter/incident-reporter-api", "OQSHA-API")</f>
        <v/>
      </c>
      <c r="F2478">
        <f>HYPERLINK("http://gitlab.osmosys.co/incident-reporter/incident-reporter-api/-/merge_requests/4220", "fix: remove error message for a new org if ptw config is not found")</f>
        <v/>
      </c>
      <c r="G2478" t="inlineStr">
        <is>
          <t>fi/ptw-config-validation</t>
        </is>
      </c>
      <c r="H2478" t="inlineStr">
        <is>
          <t>sprint-17</t>
        </is>
      </c>
      <c r="I2478" t="inlineStr">
        <is>
          <t>merged</t>
        </is>
      </c>
      <c r="J2478" t="inlineStr"/>
      <c r="K2478" t="inlineStr"/>
      <c r="L2478" t="inlineStr"/>
      <c r="M2478" t="inlineStr"/>
      <c r="N2478" t="inlineStr"/>
      <c r="O2478" t="inlineStr"/>
      <c r="P2478" t="inlineStr"/>
      <c r="Q2478" t="inlineStr"/>
    </row>
    <row r="2479">
      <c r="A2479" t="inlineStr">
        <is>
          <t>abhinav.s</t>
        </is>
      </c>
      <c r="B2479" t="inlineStr">
        <is>
          <t>Abhinav Srivastava</t>
        </is>
      </c>
      <c r="C2479" t="inlineStr">
        <is>
          <t>abhinav.s@osmosys.co</t>
        </is>
      </c>
      <c r="D2479" t="inlineStr">
        <is>
          <t>incident-reporter</t>
        </is>
      </c>
      <c r="E2479">
        <f>HYPERLINK("http://gitlab.osmosys.co/incident-reporter/incident-reporter-api", "OQSHA-API")</f>
        <v/>
      </c>
      <c r="F2479">
        <f>HYPERLINK("http://gitlab.osmosys.co/incident-reporter/incident-reporter-api/-/merge_requests/4207", "fix: remove osmoguard access from department list api")</f>
        <v/>
      </c>
      <c r="G2479" t="inlineStr">
        <is>
          <t>fix/dropdown-department-access</t>
        </is>
      </c>
      <c r="H2479" t="inlineStr">
        <is>
          <t>sprint-17</t>
        </is>
      </c>
      <c r="I2479" t="inlineStr">
        <is>
          <t>merged</t>
        </is>
      </c>
      <c r="J2479" t="inlineStr"/>
      <c r="K2479" t="inlineStr"/>
      <c r="L2479" t="inlineStr"/>
      <c r="M2479" t="inlineStr"/>
      <c r="N2479" t="inlineStr"/>
      <c r="O2479" t="inlineStr"/>
      <c r="P2479" t="inlineStr"/>
      <c r="Q2479" t="inlineStr"/>
    </row>
    <row r="2480">
      <c r="A2480" t="inlineStr">
        <is>
          <t>abhinav.s</t>
        </is>
      </c>
      <c r="B2480" t="inlineStr">
        <is>
          <t>Abhinav Srivastava</t>
        </is>
      </c>
      <c r="C2480" t="inlineStr">
        <is>
          <t>abhinav.s@osmosys.co</t>
        </is>
      </c>
      <c r="D2480" t="inlineStr">
        <is>
          <t>incident-reporter</t>
        </is>
      </c>
      <c r="E2480">
        <f>HYPERLINK("http://gitlab.osmosys.co/incident-reporter/incident-reporter-api", "OQSHA-API")</f>
        <v/>
      </c>
      <c r="F2480">
        <f>HYPERLINK("http://gitlab.osmosys.co/incident-reporter/incident-reporter-api/-/merge_requests/4206", "feat: add default ptw preferences on organisation registration")</f>
        <v/>
      </c>
      <c r="G2480" t="inlineStr">
        <is>
          <t>feat/default-ptw-reegistration</t>
        </is>
      </c>
      <c r="H2480" t="inlineStr">
        <is>
          <t>sprint-19</t>
        </is>
      </c>
      <c r="I2480" t="inlineStr">
        <is>
          <t>opened</t>
        </is>
      </c>
      <c r="J2480" t="inlineStr"/>
      <c r="K2480" t="inlineStr"/>
      <c r="L2480" t="inlineStr"/>
      <c r="M2480" t="inlineStr"/>
      <c r="N2480" t="inlineStr"/>
      <c r="O2480" t="inlineStr"/>
      <c r="P2480" t="inlineStr"/>
      <c r="Q2480" t="inlineStr"/>
    </row>
    <row r="2481">
      <c r="A2481" t="inlineStr">
        <is>
          <t>abhinav.s</t>
        </is>
      </c>
      <c r="B2481" t="inlineStr">
        <is>
          <t>Abhinav Srivastava</t>
        </is>
      </c>
      <c r="C2481" t="inlineStr">
        <is>
          <t>abhinav.s@osmosys.co</t>
        </is>
      </c>
      <c r="D2481" t="inlineStr">
        <is>
          <t>incident-reporter</t>
        </is>
      </c>
      <c r="E2481">
        <f>HYPERLINK("http://gitlab.osmosys.co/incident-reporter/incident-reporter-api", "OQSHA-API")</f>
        <v/>
      </c>
      <c r="F2481">
        <f>HYPERLINK("http://gitlab.osmosys.co/incident-reporter/incident-reporter-api/-/merge_requests/4200", "fix: fallback to user's accessible site  if siteId is null or empty in department filter")</f>
        <v/>
      </c>
      <c r="G2481" t="inlineStr">
        <is>
          <t>fix/post-department-api</t>
        </is>
      </c>
      <c r="H2481" t="inlineStr">
        <is>
          <t>sprint-17</t>
        </is>
      </c>
      <c r="I2481" t="inlineStr">
        <is>
          <t>merged</t>
        </is>
      </c>
      <c r="J2481" t="inlineStr"/>
      <c r="K2481" t="inlineStr"/>
      <c r="L2481" t="inlineStr"/>
      <c r="M2481" t="inlineStr"/>
      <c r="N2481" t="inlineStr"/>
      <c r="O2481" t="inlineStr"/>
      <c r="P2481" t="inlineStr"/>
      <c r="Q2481" t="inlineStr"/>
    </row>
    <row r="2482">
      <c r="A2482" t="inlineStr">
        <is>
          <t>abhinav.s</t>
        </is>
      </c>
      <c r="B2482" t="inlineStr">
        <is>
          <t>Abhinav Srivastava</t>
        </is>
      </c>
      <c r="C2482" t="inlineStr">
        <is>
          <t>abhinav.s@osmosys.co</t>
        </is>
      </c>
      <c r="D2482" t="inlineStr">
        <is>
          <t>incident-reporter</t>
        </is>
      </c>
      <c r="E2482">
        <f>HYPERLINK("http://gitlab.osmosys.co/incident-reporter/incident-reporter-api", "OQSHA-API")</f>
        <v/>
      </c>
      <c r="F2482">
        <f>HYPERLINK("http://gitlab.osmosys.co/incident-reporter/incident-reporter-api/-/merge_requests/4163", "fix: prevent export OSHA 301 report failure due to invalid filename characters")</f>
        <v/>
      </c>
      <c r="G2482" t="inlineStr">
        <is>
          <t>fix/export-osha</t>
        </is>
      </c>
      <c r="H2482" t="inlineStr">
        <is>
          <t>sprint-17</t>
        </is>
      </c>
      <c r="I2482" t="inlineStr">
        <is>
          <t>merged</t>
        </is>
      </c>
      <c r="J2482" t="inlineStr"/>
      <c r="K2482" t="inlineStr"/>
      <c r="L2482" t="inlineStr"/>
      <c r="M2482" t="inlineStr"/>
      <c r="N2482" t="inlineStr"/>
      <c r="O2482" t="inlineStr"/>
      <c r="P2482" t="inlineStr"/>
      <c r="Q2482" t="inlineStr"/>
    </row>
    <row r="2483">
      <c r="A2483" t="inlineStr">
        <is>
          <t>abhinav.s</t>
        </is>
      </c>
      <c r="B2483" t="inlineStr">
        <is>
          <t>Abhinav Srivastava</t>
        </is>
      </c>
      <c r="C2483" t="inlineStr">
        <is>
          <t>abhinav.s@osmosys.co</t>
        </is>
      </c>
      <c r="D2483" t="inlineStr">
        <is>
          <t>incident-reporter</t>
        </is>
      </c>
      <c r="E2483">
        <f>HYPERLINK("http://gitlab.osmosys.co/incident-reporter/incident-reporter-api", "OQSHA-API")</f>
        <v/>
      </c>
      <c r="F2483">
        <f>HYPERLINK("http://gitlab.osmosys.co/incident-reporter/incident-reporter-api/-/merge_requests/4161", "fix: handle missing resource file path to avoid directory not found exception")</f>
        <v/>
      </c>
      <c r="G2483" t="inlineStr">
        <is>
          <t>fix/resource-folder-17</t>
        </is>
      </c>
      <c r="H2483" t="inlineStr">
        <is>
          <t>sprint-17</t>
        </is>
      </c>
      <c r="I2483" t="inlineStr">
        <is>
          <t>merged</t>
        </is>
      </c>
      <c r="J2483" t="inlineStr"/>
      <c r="K2483" t="inlineStr"/>
      <c r="L2483" t="inlineStr"/>
      <c r="M2483" t="inlineStr"/>
      <c r="N2483" t="inlineStr"/>
      <c r="O2483" t="inlineStr"/>
      <c r="P2483" t="inlineStr"/>
      <c r="Q2483" t="inlineStr"/>
    </row>
    <row r="2484">
      <c r="A2484" t="inlineStr">
        <is>
          <t>abhinav.s</t>
        </is>
      </c>
      <c r="B2484" t="inlineStr">
        <is>
          <t>Abhinav Srivastava</t>
        </is>
      </c>
      <c r="C2484" t="inlineStr">
        <is>
          <t>abhinav.s@osmosys.co</t>
        </is>
      </c>
      <c r="D2484" t="inlineStr">
        <is>
          <t>incident-reporter</t>
        </is>
      </c>
      <c r="E2484">
        <f>HYPERLINK("http://gitlab.osmosys.co/incident-reporter/incident-reporter-api", "OQSHA-API")</f>
        <v/>
      </c>
      <c r="F2484">
        <f>HYPERLINK("http://gitlab.osmosys.co/incident-reporter/incident-reporter-api/-/merge_requests/4158", "fix: handle missing resource file path to avoid directory not found exception")</f>
        <v/>
      </c>
      <c r="G2484" t="inlineStr">
        <is>
          <t>fix/missing-resource-path-v16</t>
        </is>
      </c>
      <c r="H2484" t="inlineStr">
        <is>
          <t>sprint-16_v2</t>
        </is>
      </c>
      <c r="I2484" t="inlineStr">
        <is>
          <t>merged</t>
        </is>
      </c>
      <c r="J2484" t="inlineStr"/>
      <c r="K2484" t="inlineStr"/>
      <c r="L2484" t="inlineStr"/>
      <c r="M2484" t="inlineStr"/>
      <c r="N2484" t="inlineStr"/>
      <c r="O2484" t="inlineStr"/>
      <c r="P2484" t="inlineStr"/>
      <c r="Q2484" t="inlineStr"/>
    </row>
    <row r="2485">
      <c r="A2485" t="inlineStr">
        <is>
          <t>abhinav.s</t>
        </is>
      </c>
      <c r="B2485" t="inlineStr">
        <is>
          <t>Abhinav Srivastava</t>
        </is>
      </c>
      <c r="C2485" t="inlineStr">
        <is>
          <t>abhinav.s@osmosys.co</t>
        </is>
      </c>
      <c r="D2485" t="inlineStr">
        <is>
          <t>incident-reporter</t>
        </is>
      </c>
      <c r="E2485">
        <f>HYPERLINK("http://gitlab.osmosys.co/incident-reporter/incident-reporter-api", "OQSHA-API")</f>
        <v/>
      </c>
      <c r="F2485">
        <f>HYPERLINK("http://gitlab.osmosys.co/incident-reporter/incident-reporter-api/-/merge_requests/4150", "fix: handle missing resource file path to avoid directory not found exception")</f>
        <v/>
      </c>
      <c r="G2485" t="inlineStr">
        <is>
          <t>fix/missing-resource-path</t>
        </is>
      </c>
      <c r="H2485" t="inlineStr">
        <is>
          <t>sprint-16_v2</t>
        </is>
      </c>
      <c r="I2485" t="inlineStr">
        <is>
          <t>opened</t>
        </is>
      </c>
      <c r="J2485" t="inlineStr"/>
      <c r="K2485" t="inlineStr"/>
      <c r="L2485" t="inlineStr"/>
      <c r="M2485" t="inlineStr"/>
      <c r="N2485" t="inlineStr"/>
      <c r="O2485" t="inlineStr"/>
      <c r="P2485" t="inlineStr"/>
      <c r="Q2485" t="inlineStr"/>
    </row>
    <row r="2486">
      <c r="A2486" t="inlineStr">
        <is>
          <t>abhinav.s</t>
        </is>
      </c>
      <c r="B2486" t="inlineStr">
        <is>
          <t>Abhinav Srivastava</t>
        </is>
      </c>
      <c r="C2486" t="inlineStr">
        <is>
          <t>abhinav.s@osmosys.co</t>
        </is>
      </c>
      <c r="D2486" t="inlineStr">
        <is>
          <t>incident-reporter</t>
        </is>
      </c>
      <c r="E2486">
        <f>HYPERLINK("http://gitlab.osmosys.co/incident-reporter/incident-reporter-api", "OQSHA-API")</f>
        <v/>
      </c>
      <c r="F2486">
        <f>HYPERLINK("http://gitlab.osmosys.co/incident-reporter/incident-reporter-api/-/merge_requests/4140", "fix: add fallback UID generation when PageFlags is missing in organisation preferences")</f>
        <v/>
      </c>
      <c r="G2486" t="inlineStr">
        <is>
          <t>fix/page-flag-exception</t>
        </is>
      </c>
      <c r="H2486" t="inlineStr">
        <is>
          <t>sprint-17</t>
        </is>
      </c>
      <c r="I2486" t="inlineStr">
        <is>
          <t>merged</t>
        </is>
      </c>
      <c r="J2486" t="inlineStr"/>
      <c r="K2486" t="inlineStr"/>
      <c r="L2486" t="inlineStr"/>
      <c r="M2486" t="inlineStr"/>
      <c r="N2486" t="inlineStr"/>
      <c r="O2486" t="inlineStr"/>
      <c r="P2486" t="inlineStr"/>
      <c r="Q2486" t="inlineStr"/>
    </row>
    <row r="2487">
      <c r="A2487" t="inlineStr">
        <is>
          <t>abhinav.s</t>
        </is>
      </c>
      <c r="B2487" t="inlineStr">
        <is>
          <t>Abhinav Srivastava</t>
        </is>
      </c>
      <c r="C2487" t="inlineStr">
        <is>
          <t>abhinav.s@osmosys.co</t>
        </is>
      </c>
      <c r="D2487" t="inlineStr">
        <is>
          <t>incident-reporter</t>
        </is>
      </c>
      <c r="E2487">
        <f>HYPERLINK("http://gitlab.osmosys.co/incident-reporter/incident-reporter-api", "OQSHA-API")</f>
        <v/>
      </c>
      <c r="F2487">
        <f>HYPERLINK("http://gitlab.osmosys.co/incident-reporter/incident-reporter-api/-/merge_requests/4116", "feat: support module-level assigned-to and inform-to preferences for Tickets")</f>
        <v/>
      </c>
      <c r="G2487" t="inlineStr">
        <is>
          <t>feat/ticket-role-informto</t>
        </is>
      </c>
      <c r="H2487" t="inlineStr">
        <is>
          <t>sprint-17</t>
        </is>
      </c>
      <c r="I2487" t="inlineStr">
        <is>
          <t>merged</t>
        </is>
      </c>
      <c r="J2487" t="inlineStr">
        <is>
          <t>4c5fb511ba911600404c70a537c9010e684d5f61</t>
        </is>
      </c>
      <c r="K2487">
        <f>HYPERLINK("http://gitlab.osmosys.co/incident-reporter/incident-reporter-api/-/merge_requests/4116#note_235449", "@abhinav.s  - "and is being informed to you" is not needed in the email &amp; notification.")</f>
        <v/>
      </c>
      <c r="L2487" t="inlineStr">
        <is>
          <t>2025-07-11 17:55:42.802 IST</t>
        </is>
      </c>
      <c r="M2487" t="inlineStr">
        <is>
          <t>Sindhusha</t>
        </is>
      </c>
      <c r="N2487" t="inlineStr">
        <is>
          <t>Yes</t>
        </is>
      </c>
      <c r="O2487" t="inlineStr">
        <is>
          <t>No</t>
        </is>
      </c>
      <c r="P2487" t="inlineStr"/>
      <c r="Q2487" t="inlineStr">
        <is>
          <t>Neutral</t>
        </is>
      </c>
    </row>
    <row r="2488">
      <c r="A2488" t="inlineStr">
        <is>
          <t>abhinav.s</t>
        </is>
      </c>
      <c r="B2488" t="inlineStr">
        <is>
          <t>Abhinav Srivastava</t>
        </is>
      </c>
      <c r="C2488" t="inlineStr">
        <is>
          <t>abhinav.s@osmosys.co</t>
        </is>
      </c>
      <c r="D2488" t="inlineStr">
        <is>
          <t>incident-reporter</t>
        </is>
      </c>
      <c r="E2488">
        <f>HYPERLINK("http://gitlab.osmosys.co/incident-reporter/incident-reporter-api", "OQSHA-API")</f>
        <v/>
      </c>
      <c r="F2488">
        <f>HYPERLINK("http://gitlab.osmosys.co/incident-reporter/incident-reporter-api/-/merge_requests/4116", "feat: support module-level assigned-to and inform-to preferences for Tickets")</f>
        <v/>
      </c>
      <c r="G2488" t="inlineStr">
        <is>
          <t>feat/ticket-role-informto</t>
        </is>
      </c>
      <c r="H2488" t="inlineStr">
        <is>
          <t>sprint-17</t>
        </is>
      </c>
      <c r="I2488" t="inlineStr">
        <is>
          <t>merged</t>
        </is>
      </c>
      <c r="J2488" t="inlineStr">
        <is>
          <t>5e4aef92ce957a13d5e0239a0a0b07b758143f17</t>
        </is>
      </c>
      <c r="K2488">
        <f>HYPERLINK("http://gitlab.osmosys.co/incident-reporter/incident-reporter-api/-/merge_requests/4116#note_235450", "Okay I am updating it")</f>
        <v/>
      </c>
      <c r="L2488" t="inlineStr">
        <is>
          <t>2025-07-11 17:56:28.764 IST</t>
        </is>
      </c>
      <c r="M2488" t="inlineStr">
        <is>
          <t>Abhinav Srivastava</t>
        </is>
      </c>
      <c r="N2488" t="inlineStr">
        <is>
          <t>No</t>
        </is>
      </c>
      <c r="O2488" t="inlineStr">
        <is>
          <t>No</t>
        </is>
      </c>
      <c r="P2488" t="inlineStr"/>
      <c r="Q2488" t="inlineStr">
        <is>
          <t>Bad</t>
        </is>
      </c>
    </row>
    <row r="2489">
      <c r="A2489" t="inlineStr">
        <is>
          <t>abhinav.s</t>
        </is>
      </c>
      <c r="B2489" t="inlineStr">
        <is>
          <t>Abhinav Srivastava</t>
        </is>
      </c>
      <c r="C2489" t="inlineStr">
        <is>
          <t>abhinav.s@osmosys.co</t>
        </is>
      </c>
      <c r="D2489" t="inlineStr">
        <is>
          <t>incident-reporter</t>
        </is>
      </c>
      <c r="E2489">
        <f>HYPERLINK("http://gitlab.osmosys.co/incident-reporter/incident-reporter-api", "OQSHA-API")</f>
        <v/>
      </c>
      <c r="F2489">
        <f>HYPERLINK("http://gitlab.osmosys.co/incident-reporter/incident-reporter-api/-/merge_requests/4114", "feat: support module-level assigned-to and inform-to preferences for Tickets (TTK org)Feat/ticket assigned to")</f>
        <v/>
      </c>
      <c r="G2489" t="inlineStr">
        <is>
          <t>feat/ticket-assigned-to</t>
        </is>
      </c>
      <c r="H2489" t="inlineStr">
        <is>
          <t>sprint-17</t>
        </is>
      </c>
      <c r="I2489" t="inlineStr">
        <is>
          <t>closed</t>
        </is>
      </c>
      <c r="J2489" t="inlineStr"/>
      <c r="K2489" t="inlineStr"/>
      <c r="L2489" t="inlineStr"/>
      <c r="M2489" t="inlineStr"/>
      <c r="N2489" t="inlineStr"/>
      <c r="O2489" t="inlineStr"/>
      <c r="P2489" t="inlineStr"/>
      <c r="Q2489" t="inlineStr"/>
    </row>
    <row r="2490">
      <c r="A2490" t="inlineStr">
        <is>
          <t>abhinav.s</t>
        </is>
      </c>
      <c r="B2490" t="inlineStr">
        <is>
          <t>Abhinav Srivastava</t>
        </is>
      </c>
      <c r="C2490" t="inlineStr">
        <is>
          <t>abhinav.s@osmosys.co</t>
        </is>
      </c>
      <c r="D2490" t="inlineStr">
        <is>
          <t>incident-reporter</t>
        </is>
      </c>
      <c r="E2490">
        <f>HYPERLINK("http://gitlab.osmosys.co/incident-reporter/incident-reporter-api", "OQSHA-API")</f>
        <v/>
      </c>
      <c r="F2490">
        <f>HYPERLINK("http://gitlab.osmosys.co/incident-reporter/incident-reporter-api/-/merge_requests/4105", "fix: update Associated PTWs API to return only user-involved PTWs")</f>
        <v/>
      </c>
      <c r="G2490" t="inlineStr">
        <is>
          <t>fix/associated-ptw</t>
        </is>
      </c>
      <c r="H2490" t="inlineStr">
        <is>
          <t>sprint-17</t>
        </is>
      </c>
      <c r="I2490" t="inlineStr">
        <is>
          <t>merged</t>
        </is>
      </c>
      <c r="J2490" t="inlineStr"/>
      <c r="K2490" t="inlineStr"/>
      <c r="L2490" t="inlineStr"/>
      <c r="M2490" t="inlineStr"/>
      <c r="N2490" t="inlineStr"/>
      <c r="O2490" t="inlineStr"/>
      <c r="P2490" t="inlineStr"/>
      <c r="Q2490" t="inlineStr"/>
    </row>
    <row r="2491">
      <c r="A2491" t="inlineStr">
        <is>
          <t>abhinav.s</t>
        </is>
      </c>
      <c r="B2491" t="inlineStr">
        <is>
          <t>Abhinav Srivastava</t>
        </is>
      </c>
      <c r="C2491" t="inlineStr">
        <is>
          <t>abhinav.s@osmosys.co</t>
        </is>
      </c>
      <c r="D2491" t="inlineStr">
        <is>
          <t>incident-reporter</t>
        </is>
      </c>
      <c r="E2491">
        <f>HYPERLINK("http://gitlab.osmosys.co/incident-reporter/incident-reporter-api", "OQSHA-API")</f>
        <v/>
      </c>
      <c r="F2491">
        <f>HYPERLINK("http://gitlab.osmosys.co/incident-reporter/incident-reporter-api/-/merge_requests/4068", "fix: handle missing resource file path to avoid directory not found exception")</f>
        <v/>
      </c>
      <c r="G2491" t="inlineStr">
        <is>
          <t>fix/org-folder-check</t>
        </is>
      </c>
      <c r="H2491" t="inlineStr">
        <is>
          <t>sprint-17</t>
        </is>
      </c>
      <c r="I2491" t="inlineStr">
        <is>
          <t>merged</t>
        </is>
      </c>
      <c r="J2491" t="inlineStr"/>
      <c r="K2491" t="inlineStr"/>
      <c r="L2491" t="inlineStr"/>
      <c r="M2491" t="inlineStr"/>
      <c r="N2491" t="inlineStr"/>
      <c r="O2491" t="inlineStr"/>
      <c r="P2491" t="inlineStr"/>
      <c r="Q2491" t="inlineStr"/>
    </row>
    <row r="2492">
      <c r="A2492" t="inlineStr">
        <is>
          <t>abhinav.s</t>
        </is>
      </c>
      <c r="B2492" t="inlineStr">
        <is>
          <t>Abhinav Srivastava</t>
        </is>
      </c>
      <c r="C2492" t="inlineStr">
        <is>
          <t>abhinav.s@osmosys.co</t>
        </is>
      </c>
      <c r="D2492" t="inlineStr">
        <is>
          <t>incident-reporter</t>
        </is>
      </c>
      <c r="E2492">
        <f>HYPERLINK("http://gitlab.osmosys.co/incident-reporter/incident-reporter-api", "OQSHA-API")</f>
        <v/>
      </c>
      <c r="F2492">
        <f>HYPERLINK("http://gitlab.osmosys.co/incident-reporter/incident-reporter-api/-/merge_requests/4059", "fix: change incident export api from get to post")</f>
        <v/>
      </c>
      <c r="G2492" t="inlineStr">
        <is>
          <t>fix/incidents-export-sprint-17</t>
        </is>
      </c>
      <c r="H2492" t="inlineStr">
        <is>
          <t>sprint-17</t>
        </is>
      </c>
      <c r="I2492" t="inlineStr">
        <is>
          <t>merged</t>
        </is>
      </c>
      <c r="J2492" t="inlineStr"/>
      <c r="K2492" t="inlineStr"/>
      <c r="L2492" t="inlineStr"/>
      <c r="M2492" t="inlineStr"/>
      <c r="N2492" t="inlineStr"/>
      <c r="O2492" t="inlineStr"/>
      <c r="P2492" t="inlineStr"/>
      <c r="Q2492" t="inlineStr"/>
    </row>
    <row r="2493">
      <c r="A2493" t="inlineStr">
        <is>
          <t>abhinav.s</t>
        </is>
      </c>
      <c r="B2493" t="inlineStr">
        <is>
          <t>Abhinav Srivastava</t>
        </is>
      </c>
      <c r="C2493" t="inlineStr">
        <is>
          <t>abhinav.s@osmosys.co</t>
        </is>
      </c>
      <c r="D2493" t="inlineStr">
        <is>
          <t>incident-reporter</t>
        </is>
      </c>
      <c r="E2493">
        <f>HYPERLINK("http://gitlab.osmosys.co/incident-reporter/incident-reporter-api", "OQSHA-API")</f>
        <v/>
      </c>
      <c r="F2493">
        <f>HYPERLINK("http://gitlab.osmosys.co/incident-reporter/incident-reporter-api/-/merge_requests/4058", "fix: change incident export api from get to post")</f>
        <v/>
      </c>
      <c r="G2493" t="inlineStr">
        <is>
          <t>fix/incidents-export</t>
        </is>
      </c>
      <c r="H2493" t="inlineStr">
        <is>
          <t>sprint-16_v2</t>
        </is>
      </c>
      <c r="I2493" t="inlineStr">
        <is>
          <t>merged</t>
        </is>
      </c>
      <c r="J2493" t="inlineStr"/>
      <c r="K2493" t="inlineStr"/>
      <c r="L2493" t="inlineStr"/>
      <c r="M2493" t="inlineStr"/>
      <c r="N2493" t="inlineStr"/>
      <c r="O2493" t="inlineStr"/>
      <c r="P2493" t="inlineStr"/>
      <c r="Q2493" t="inlineStr"/>
    </row>
    <row r="2494">
      <c r="A2494" t="inlineStr">
        <is>
          <t>abhinav.s</t>
        </is>
      </c>
      <c r="B2494" t="inlineStr">
        <is>
          <t>Abhinav Srivastava</t>
        </is>
      </c>
      <c r="C2494" t="inlineStr">
        <is>
          <t>abhinav.s@osmosys.co</t>
        </is>
      </c>
      <c r="D2494" t="inlineStr">
        <is>
          <t>incident-reporter</t>
        </is>
      </c>
      <c r="E2494">
        <f>HYPERLINK("http://gitlab.osmosys.co/incident-reporter/incident-reporter-api", "OQSHA-API")</f>
        <v/>
      </c>
      <c r="F2494">
        <f>HYPERLINK("http://gitlab.osmosys.co/incident-reporter/incident-reporter-api/-/merge_requests/4051", "fix: fetch ssc value from task ssc instead of tickets")</f>
        <v/>
      </c>
      <c r="G2494" t="inlineStr">
        <is>
          <t>fix/task-uid</t>
        </is>
      </c>
      <c r="H2494" t="inlineStr">
        <is>
          <t>sprint-17</t>
        </is>
      </c>
      <c r="I2494" t="inlineStr">
        <is>
          <t>merged</t>
        </is>
      </c>
      <c r="J2494" t="inlineStr"/>
      <c r="K2494" t="inlineStr"/>
      <c r="L2494" t="inlineStr"/>
      <c r="M2494" t="inlineStr"/>
      <c r="N2494" t="inlineStr"/>
      <c r="O2494" t="inlineStr"/>
      <c r="P2494" t="inlineStr"/>
      <c r="Q2494" t="inlineStr"/>
    </row>
    <row r="2495">
      <c r="A2495" t="inlineStr">
        <is>
          <t>abhinav.s</t>
        </is>
      </c>
      <c r="B2495" t="inlineStr">
        <is>
          <t>Abhinav Srivastava</t>
        </is>
      </c>
      <c r="C2495" t="inlineStr">
        <is>
          <t>abhinav.s@osmosys.co</t>
        </is>
      </c>
      <c r="D2495" t="inlineStr">
        <is>
          <t>incident-reporter</t>
        </is>
      </c>
      <c r="E2495">
        <f>HYPERLINK("http://gitlab.osmosys.co/incident-reporter/incident-reporter-api", "OQSHA-API")</f>
        <v/>
      </c>
      <c r="F2495">
        <f>HYPERLINK("http://gitlab.osmosys.co/incident-reporter/incident-reporter-api/-/merge_requests/4022", "feat: add department setup apis")</f>
        <v/>
      </c>
      <c r="G2495" t="inlineStr">
        <is>
          <t>feat/department-apis</t>
        </is>
      </c>
      <c r="H2495" t="inlineStr">
        <is>
          <t>sprint-17</t>
        </is>
      </c>
      <c r="I2495" t="inlineStr">
        <is>
          <t>merged</t>
        </is>
      </c>
      <c r="J2495" t="inlineStr"/>
      <c r="K2495" t="inlineStr"/>
      <c r="L2495" t="inlineStr"/>
      <c r="M2495" t="inlineStr"/>
      <c r="N2495" t="inlineStr"/>
      <c r="O2495" t="inlineStr"/>
      <c r="P2495" t="inlineStr"/>
      <c r="Q2495" t="inlineStr"/>
    </row>
    <row r="2496">
      <c r="A2496" t="inlineStr">
        <is>
          <t>jaideep.s</t>
        </is>
      </c>
      <c r="B2496" t="inlineStr">
        <is>
          <t>Jaideep Singh</t>
        </is>
      </c>
      <c r="C2496" t="inlineStr">
        <is>
          <t>jaideep.s@osmosys.co</t>
        </is>
      </c>
      <c r="D2496" t="inlineStr">
        <is>
          <t>php/amphenol-website</t>
        </is>
      </c>
      <c r="E2496">
        <f>HYPERLINK("http://gitlab.osmosys.co/php/amphenol-website/products", "Products")</f>
        <v/>
      </c>
      <c r="F2496">
        <f>HYPERLINK("http://gitlab.osmosys.co/php/amphenol-website/products/-/merge_requests/11", "Products/hazardous accordion")</f>
        <v/>
      </c>
      <c r="G2496" t="inlineStr">
        <is>
          <t>products/hazardous-accordion</t>
        </is>
      </c>
      <c r="H2496" t="inlineStr">
        <is>
          <t>main</t>
        </is>
      </c>
      <c r="I2496" t="inlineStr">
        <is>
          <t>opened</t>
        </is>
      </c>
      <c r="J2496" t="inlineStr"/>
      <c r="K2496" t="inlineStr"/>
      <c r="L2496" t="inlineStr"/>
      <c r="M2496" t="inlineStr"/>
      <c r="N2496" t="inlineStr"/>
      <c r="O2496" t="inlineStr"/>
      <c r="P2496" t="inlineStr"/>
      <c r="Q2496" t="inlineStr"/>
    </row>
    <row r="2497">
      <c r="A2497" t="inlineStr">
        <is>
          <t>jaideep.s</t>
        </is>
      </c>
      <c r="B2497" t="inlineStr">
        <is>
          <t>Jaideep Singh</t>
        </is>
      </c>
      <c r="C2497" t="inlineStr">
        <is>
          <t>jaideep.s@osmosys.co</t>
        </is>
      </c>
      <c r="D2497" t="inlineStr">
        <is>
          <t>php/amphenol-website</t>
        </is>
      </c>
      <c r="E2497">
        <f>HYPERLINK("http://gitlab.osmosys.co/php/amphenol-website/products", "Products")</f>
        <v/>
      </c>
      <c r="F2497">
        <f>HYPERLINK("http://gitlab.osmosys.co/php/amphenol-website/products/-/merge_requests/10", "AMPT-149-Products/algolia search")</f>
        <v/>
      </c>
      <c r="G2497" t="inlineStr">
        <is>
          <t>products/algolia-search</t>
        </is>
      </c>
      <c r="H2497" t="inlineStr">
        <is>
          <t>main</t>
        </is>
      </c>
      <c r="I2497" t="inlineStr">
        <is>
          <t>merged</t>
        </is>
      </c>
      <c r="J2497" t="inlineStr"/>
      <c r="K2497" t="inlineStr"/>
      <c r="L2497" t="inlineStr"/>
      <c r="M2497" t="inlineStr"/>
      <c r="N2497" t="inlineStr"/>
      <c r="O2497" t="inlineStr"/>
      <c r="P2497" t="inlineStr"/>
      <c r="Q2497" t="inlineStr"/>
    </row>
    <row r="2498">
      <c r="A2498" t="inlineStr">
        <is>
          <t>jaideep.s</t>
        </is>
      </c>
      <c r="B2498" t="inlineStr">
        <is>
          <t>Jaideep Singh</t>
        </is>
      </c>
      <c r="C2498" t="inlineStr">
        <is>
          <t>jaideep.s@osmosys.co</t>
        </is>
      </c>
      <c r="D2498" t="inlineStr">
        <is>
          <t>php/amphenol-website</t>
        </is>
      </c>
      <c r="E2498">
        <f>HYPERLINK("http://gitlab.osmosys.co/php/amphenol-website/products", "Products")</f>
        <v/>
      </c>
      <c r="F2498">
        <f>HYPERLINK("http://gitlab.osmosys.co/php/amphenol-website/products/-/merge_requests/9", "AMPT-141 - Update default price to use only german one")</f>
        <v/>
      </c>
      <c r="G2498" t="inlineStr">
        <is>
          <t>products/german-price</t>
        </is>
      </c>
      <c r="H2498" t="inlineStr">
        <is>
          <t>main</t>
        </is>
      </c>
      <c r="I2498" t="inlineStr">
        <is>
          <t>merged</t>
        </is>
      </c>
      <c r="J2498" t="inlineStr"/>
      <c r="K2498" t="inlineStr"/>
      <c r="L2498" t="inlineStr"/>
      <c r="M2498" t="inlineStr"/>
      <c r="N2498" t="inlineStr"/>
      <c r="O2498" t="inlineStr"/>
      <c r="P2498" t="inlineStr"/>
      <c r="Q2498" t="inlineStr"/>
    </row>
    <row r="2499">
      <c r="A2499" t="inlineStr">
        <is>
          <t>jaideep.s</t>
        </is>
      </c>
      <c r="B2499" t="inlineStr">
        <is>
          <t>Jaideep Singh</t>
        </is>
      </c>
      <c r="C2499" t="inlineStr">
        <is>
          <t>jaideep.s@osmosys.co</t>
        </is>
      </c>
      <c r="D2499" t="inlineStr">
        <is>
          <t>php/amphenol-website</t>
        </is>
      </c>
      <c r="E2499">
        <f>HYPERLINK("http://gitlab.osmosys.co/php/amphenol-website/module-kit", "Module Kit")</f>
        <v/>
      </c>
      <c r="F2499">
        <f>HYPERLINK("http://gitlab.osmosys.co/php/amphenol-website/module-kit/-/merge_requests/5", "AMPT-155-Add algolia changes")</f>
        <v/>
      </c>
      <c r="G2499" t="inlineStr">
        <is>
          <t>module-kit/algolia-search</t>
        </is>
      </c>
      <c r="H2499" t="inlineStr">
        <is>
          <t>main</t>
        </is>
      </c>
      <c r="I2499" t="inlineStr">
        <is>
          <t>merged</t>
        </is>
      </c>
      <c r="J2499" t="inlineStr"/>
      <c r="K2499" t="inlineStr"/>
      <c r="L2499" t="inlineStr"/>
      <c r="M2499" t="inlineStr"/>
      <c r="N2499" t="inlineStr"/>
      <c r="O2499" t="inlineStr"/>
      <c r="P2499" t="inlineStr"/>
      <c r="Q2499" t="inlineStr"/>
    </row>
    <row r="2500">
      <c r="A2500" t="inlineStr">
        <is>
          <t>jaideep.s</t>
        </is>
      </c>
      <c r="B2500" t="inlineStr">
        <is>
          <t>Jaideep Singh</t>
        </is>
      </c>
      <c r="C2500" t="inlineStr">
        <is>
          <t>jaideep.s@osmosys.co</t>
        </is>
      </c>
      <c r="D2500" t="inlineStr">
        <is>
          <t>php/amphenol-website</t>
        </is>
      </c>
      <c r="E2500">
        <f>HYPERLINK("http://gitlab.osmosys.co/php/amphenol-website/cart", "Cart")</f>
        <v/>
      </c>
      <c r="F2500">
        <f>HYPERLINK("http://gitlab.osmosys.co/php/amphenol-website/cart/-/merge_requests/7", "AMPT-161-Update add multiple items to cart logic")</f>
        <v/>
      </c>
      <c r="G2500" t="inlineStr">
        <is>
          <t>cart/update-price-validation</t>
        </is>
      </c>
      <c r="H2500" t="inlineStr">
        <is>
          <t>main</t>
        </is>
      </c>
      <c r="I2500" t="inlineStr">
        <is>
          <t>merged</t>
        </is>
      </c>
      <c r="J2500" t="inlineStr"/>
      <c r="K2500" t="inlineStr"/>
      <c r="L2500" t="inlineStr"/>
      <c r="M2500" t="inlineStr"/>
      <c r="N2500" t="inlineStr"/>
      <c r="O2500" t="inlineStr"/>
      <c r="P2500" t="inlineStr"/>
      <c r="Q2500" t="inlineStr"/>
    </row>
    <row r="2501">
      <c r="A2501" t="inlineStr">
        <is>
          <t>harish</t>
        </is>
      </c>
      <c r="B2501" t="inlineStr">
        <is>
          <t>Harish</t>
        </is>
      </c>
      <c r="C2501" t="inlineStr">
        <is>
          <t>harish@osmosys.co</t>
        </is>
      </c>
      <c r="D2501" t="inlineStr">
        <is>
          <t>incident-reporter</t>
        </is>
      </c>
      <c r="E2501">
        <f>HYPERLINK("http://gitlab.osmosys.co/incident-reporter/incident-reporter-api", "OQSHA-API")</f>
        <v/>
      </c>
      <c r="F2501">
        <f>HYPERLINK("http://gitlab.osmosys.co/incident-reporter/incident-reporter-api/-/merge_requests/4473", "feat: add feature to create sub task based on parent task")</f>
        <v/>
      </c>
      <c r="G2501" t="inlineStr">
        <is>
          <t>feat/create-task-modification</t>
        </is>
      </c>
      <c r="H2501" t="inlineStr">
        <is>
          <t>sprint-19</t>
        </is>
      </c>
      <c r="I2501" t="inlineStr">
        <is>
          <t>merged</t>
        </is>
      </c>
      <c r="J2501" t="inlineStr">
        <is>
          <t>a35aa4a53f4e4043815d61202155480881fd4ba1</t>
        </is>
      </c>
      <c r="K2501">
        <f>HYPERLINK("http://gitlab.osmosys.co/incident-reporter/incident-reporter-api/-/merge_requests/4473#note_246811", "Is this a wanted code addition?")</f>
        <v/>
      </c>
      <c r="L2501" t="inlineStr">
        <is>
          <t>2025-08-03 13:03:00.862 IST</t>
        </is>
      </c>
      <c r="M2501" t="inlineStr">
        <is>
          <t>Sindhusha</t>
        </is>
      </c>
      <c r="N2501" t="inlineStr">
        <is>
          <t>Yes</t>
        </is>
      </c>
      <c r="O2501" t="inlineStr">
        <is>
          <t>Yes</t>
        </is>
      </c>
      <c r="P2501" t="inlineStr">
        <is>
          <t>Sindhusha</t>
        </is>
      </c>
      <c r="Q2501" t="inlineStr">
        <is>
          <t>Neutral</t>
        </is>
      </c>
    </row>
    <row r="2502">
      <c r="A2502" t="inlineStr">
        <is>
          <t>harish</t>
        </is>
      </c>
      <c r="B2502" t="inlineStr">
        <is>
          <t>Harish</t>
        </is>
      </c>
      <c r="C2502" t="inlineStr">
        <is>
          <t>harish@osmosys.co</t>
        </is>
      </c>
      <c r="D2502" t="inlineStr">
        <is>
          <t>incident-reporter</t>
        </is>
      </c>
      <c r="E2502">
        <f>HYPERLINK("http://gitlab.osmosys.co/incident-reporter/incident-reporter-api", "OQSHA-API")</f>
        <v/>
      </c>
      <c r="F2502">
        <f>HYPERLINK("http://gitlab.osmosys.co/incident-reporter/incident-reporter-api/-/merge_requests/4473", "feat: add feature to create sub task based on parent task")</f>
        <v/>
      </c>
      <c r="G2502" t="inlineStr">
        <is>
          <t>feat/create-task-modification</t>
        </is>
      </c>
      <c r="H2502" t="inlineStr">
        <is>
          <t>sprint-19</t>
        </is>
      </c>
      <c r="I2502" t="inlineStr">
        <is>
          <t>merged</t>
        </is>
      </c>
      <c r="J2502" t="inlineStr">
        <is>
          <t>a35aa4a53f4e4043815d61202155480881fd4ba1</t>
        </is>
      </c>
      <c r="K2502">
        <f>HYPERLINK("http://gitlab.osmosys.co/incident-reporter/incident-reporter-api/-/merge_requests/4473#note_246823", "this just update the spacing - auto formatter did this")</f>
        <v/>
      </c>
      <c r="L2502" t="inlineStr">
        <is>
          <t>2025-08-03 13:11:13.010 IST</t>
        </is>
      </c>
      <c r="M2502" t="inlineStr">
        <is>
          <t>Harish</t>
        </is>
      </c>
      <c r="N2502" t="inlineStr">
        <is>
          <t>No</t>
        </is>
      </c>
      <c r="O2502" t="inlineStr">
        <is>
          <t>Yes</t>
        </is>
      </c>
      <c r="P2502" t="inlineStr">
        <is>
          <t>Sindhusha</t>
        </is>
      </c>
      <c r="Q2502" t="inlineStr">
        <is>
          <t>Neutral</t>
        </is>
      </c>
    </row>
    <row r="2503">
      <c r="A2503" t="inlineStr">
        <is>
          <t>harish</t>
        </is>
      </c>
      <c r="B2503" t="inlineStr">
        <is>
          <t>Harish</t>
        </is>
      </c>
      <c r="C2503" t="inlineStr">
        <is>
          <t>harish@osmosys.co</t>
        </is>
      </c>
      <c r="D2503" t="inlineStr">
        <is>
          <t>incident-reporter</t>
        </is>
      </c>
      <c r="E2503">
        <f>HYPERLINK("http://gitlab.osmosys.co/incident-reporter/incident-reporter-api", "OQSHA-API")</f>
        <v/>
      </c>
      <c r="F2503">
        <f>HYPERLINK("http://gitlab.osmosys.co/incident-reporter/incident-reporter-api/-/merge_requests/4473", "feat: add feature to create sub task based on parent task")</f>
        <v/>
      </c>
      <c r="G2503" t="inlineStr">
        <is>
          <t>feat/create-task-modification</t>
        </is>
      </c>
      <c r="H2503" t="inlineStr">
        <is>
          <t>sprint-19</t>
        </is>
      </c>
      <c r="I2503" t="inlineStr">
        <is>
          <t>merged</t>
        </is>
      </c>
      <c r="J2503" t="inlineStr">
        <is>
          <t>133e36fb1eeda76115272308cbe015f77f152a33</t>
        </is>
      </c>
      <c r="K2503">
        <f>HYPERLINK("http://gitlab.osmosys.co/incident-reporter/incident-reporter-api/-/merge_requests/4473#note_246822", "Do we still need save status?? We are already supporting draft status right? Is UI still uses this property for anything? even in Inspection we can get rid of this.")</f>
        <v/>
      </c>
      <c r="L2503" t="inlineStr">
        <is>
          <t>2025-08-03 13:07:48.685 IST</t>
        </is>
      </c>
      <c r="M2503" t="inlineStr">
        <is>
          <t>Sindhusha</t>
        </is>
      </c>
      <c r="N2503" t="inlineStr">
        <is>
          <t>Yes</t>
        </is>
      </c>
      <c r="O2503" t="inlineStr">
        <is>
          <t>Yes</t>
        </is>
      </c>
      <c r="P2503" t="inlineStr">
        <is>
          <t>Sindhusha</t>
        </is>
      </c>
      <c r="Q2503" t="inlineStr">
        <is>
          <t>Neutral</t>
        </is>
      </c>
    </row>
    <row r="2504">
      <c r="A2504" t="inlineStr">
        <is>
          <t>harish</t>
        </is>
      </c>
      <c r="B2504" t="inlineStr">
        <is>
          <t>Harish</t>
        </is>
      </c>
      <c r="C2504" t="inlineStr">
        <is>
          <t>harish@osmosys.co</t>
        </is>
      </c>
      <c r="D2504" t="inlineStr">
        <is>
          <t>incident-reporter</t>
        </is>
      </c>
      <c r="E2504">
        <f>HYPERLINK("http://gitlab.osmosys.co/incident-reporter/incident-reporter-api", "OQSHA-API")</f>
        <v/>
      </c>
      <c r="F2504">
        <f>HYPERLINK("http://gitlab.osmosys.co/incident-reporter/incident-reporter-api/-/merge_requests/4473", "feat: add feature to create sub task based on parent task")</f>
        <v/>
      </c>
      <c r="G2504" t="inlineStr">
        <is>
          <t>feat/create-task-modification</t>
        </is>
      </c>
      <c r="H2504" t="inlineStr">
        <is>
          <t>sprint-19</t>
        </is>
      </c>
      <c r="I2504" t="inlineStr">
        <is>
          <t>merged</t>
        </is>
      </c>
      <c r="J2504" t="inlineStr">
        <is>
          <t>133e36fb1eeda76115272308cbe015f77f152a33</t>
        </is>
      </c>
      <c r="K2504">
        <f>HYPERLINK("http://gitlab.osmosys.co/incident-reporter/incident-reporter-api/-/merge_requests/4473#note_246825", "yes - just to be on safe side - i am using the saveStatus thing , as even though we have draft status , UI will send the Id - then i match string - which is not good")</f>
        <v/>
      </c>
      <c r="L2504" t="inlineStr">
        <is>
          <t>2025-08-03 13:12:37.658 IST</t>
        </is>
      </c>
      <c r="M2504" t="inlineStr">
        <is>
          <t>Harish</t>
        </is>
      </c>
      <c r="N2504" t="inlineStr">
        <is>
          <t>No</t>
        </is>
      </c>
      <c r="O2504" t="inlineStr">
        <is>
          <t>Yes</t>
        </is>
      </c>
      <c r="P2504" t="inlineStr">
        <is>
          <t>Sindhusha</t>
        </is>
      </c>
      <c r="Q2504" t="inlineStr">
        <is>
          <t>Neutral</t>
        </is>
      </c>
    </row>
    <row r="2505">
      <c r="A2505" t="inlineStr">
        <is>
          <t>harish</t>
        </is>
      </c>
      <c r="B2505" t="inlineStr">
        <is>
          <t>Harish</t>
        </is>
      </c>
      <c r="C2505" t="inlineStr">
        <is>
          <t>harish@osmosys.co</t>
        </is>
      </c>
      <c r="D2505" t="inlineStr">
        <is>
          <t>incident-reporter</t>
        </is>
      </c>
      <c r="E2505">
        <f>HYPERLINK("http://gitlab.osmosys.co/incident-reporter/incident-reporter-api", "OQSHA-API")</f>
        <v/>
      </c>
      <c r="F2505">
        <f>HYPERLINK("http://gitlab.osmosys.co/incident-reporter/incident-reporter-api/-/merge_requests/4473", "feat: add feature to create sub task based on parent task")</f>
        <v/>
      </c>
      <c r="G2505" t="inlineStr">
        <is>
          <t>feat/create-task-modification</t>
        </is>
      </c>
      <c r="H2505" t="inlineStr">
        <is>
          <t>sprint-19</t>
        </is>
      </c>
      <c r="I2505" t="inlineStr">
        <is>
          <t>merged</t>
        </is>
      </c>
      <c r="J2505" t="inlineStr">
        <is>
          <t>133e36fb1eeda76115272308cbe015f77f152a33</t>
        </is>
      </c>
      <c r="K2505">
        <f>HYPERLINK("http://gitlab.osmosys.co/incident-reporter/incident-reporter-api/-/merge_requests/4473#note_246826", "Ok we can use that property, I could see we are not storing it in new column which is Ok.")</f>
        <v/>
      </c>
      <c r="L2505" t="inlineStr">
        <is>
          <t>2025-08-03 13:15:22.530 IST</t>
        </is>
      </c>
      <c r="M2505" t="inlineStr">
        <is>
          <t>Sindhusha</t>
        </is>
      </c>
      <c r="N2505" t="inlineStr">
        <is>
          <t>Yes</t>
        </is>
      </c>
      <c r="O2505" t="inlineStr">
        <is>
          <t>Yes</t>
        </is>
      </c>
      <c r="P2505" t="inlineStr">
        <is>
          <t>Sindhusha</t>
        </is>
      </c>
      <c r="Q2505" t="inlineStr">
        <is>
          <t>Neutral</t>
        </is>
      </c>
    </row>
    <row r="2506">
      <c r="A2506" t="inlineStr">
        <is>
          <t>harish</t>
        </is>
      </c>
      <c r="B2506" t="inlineStr">
        <is>
          <t>Harish</t>
        </is>
      </c>
      <c r="C2506" t="inlineStr">
        <is>
          <t>harish@osmosys.co</t>
        </is>
      </c>
      <c r="D2506" t="inlineStr">
        <is>
          <t>incident-reporter</t>
        </is>
      </c>
      <c r="E2506">
        <f>HYPERLINK("http://gitlab.osmosys.co/incident-reporter/incident-reporter-api", "OQSHA-API")</f>
        <v/>
      </c>
      <c r="F2506">
        <f>HYPERLINK("http://gitlab.osmosys.co/incident-reporter/incident-reporter-api/-/merge_requests/4463", "refactor: improve task creation logic")</f>
        <v/>
      </c>
      <c r="G2506" t="inlineStr">
        <is>
          <t>feat/task-modification</t>
        </is>
      </c>
      <c r="H2506" t="inlineStr">
        <is>
          <t>sprint-19</t>
        </is>
      </c>
      <c r="I2506" t="inlineStr">
        <is>
          <t>opened</t>
        </is>
      </c>
      <c r="J2506" t="inlineStr"/>
      <c r="K2506" t="inlineStr"/>
      <c r="L2506" t="inlineStr"/>
      <c r="M2506" t="inlineStr"/>
      <c r="N2506" t="inlineStr"/>
      <c r="O2506" t="inlineStr"/>
      <c r="P2506" t="inlineStr"/>
      <c r="Q2506" t="inlineStr"/>
    </row>
    <row r="2507">
      <c r="A2507" t="inlineStr">
        <is>
          <t>harish</t>
        </is>
      </c>
      <c r="B2507" t="inlineStr">
        <is>
          <t>Harish</t>
        </is>
      </c>
      <c r="C2507" t="inlineStr">
        <is>
          <t>harish@osmosys.co</t>
        </is>
      </c>
      <c r="D2507" t="inlineStr">
        <is>
          <t>incident-reporter</t>
        </is>
      </c>
      <c r="E2507">
        <f>HYPERLINK("http://gitlab.osmosys.co/incident-reporter/incident-reporter-api", "OQSHA-API")</f>
        <v/>
      </c>
      <c r="F2507">
        <f>HYPERLINK("http://gitlab.osmosys.co/incident-reporter/incident-reporter-api/-/merge_requests/4454", "fix: add sorting on site name in task module")</f>
        <v/>
      </c>
      <c r="G2507" t="inlineStr">
        <is>
          <t>fix/site-sorting</t>
        </is>
      </c>
      <c r="H2507" t="inlineStr">
        <is>
          <t>sprint-19</t>
        </is>
      </c>
      <c r="I2507" t="inlineStr">
        <is>
          <t>merged</t>
        </is>
      </c>
      <c r="J2507" t="inlineStr"/>
      <c r="K2507" t="inlineStr"/>
      <c r="L2507" t="inlineStr"/>
      <c r="M2507" t="inlineStr"/>
      <c r="N2507" t="inlineStr"/>
      <c r="O2507" t="inlineStr"/>
      <c r="P2507" t="inlineStr"/>
      <c r="Q2507" t="inlineStr"/>
    </row>
    <row r="2508">
      <c r="A2508" t="inlineStr">
        <is>
          <t>harish</t>
        </is>
      </c>
      <c r="B2508" t="inlineStr">
        <is>
          <t>Harish</t>
        </is>
      </c>
      <c r="C2508" t="inlineStr">
        <is>
          <t>harish@osmosys.co</t>
        </is>
      </c>
      <c r="D2508" t="inlineStr">
        <is>
          <t>incident-reporter</t>
        </is>
      </c>
      <c r="E2508">
        <f>HYPERLINK("http://gitlab.osmosys.co/incident-reporter/incident-reporter-api", "OQSHA-API")</f>
        <v/>
      </c>
      <c r="F2508">
        <f>HYPERLINK("http://gitlab.osmosys.co/incident-reporter/incident-reporter-api/-/merge_requests/4452", "ci: update target server to qa stg for cd")</f>
        <v/>
      </c>
      <c r="G2508" t="inlineStr">
        <is>
          <t>ci/update-cd-target</t>
        </is>
      </c>
      <c r="H2508" t="inlineStr">
        <is>
          <t>sprint-19</t>
        </is>
      </c>
      <c r="I2508" t="inlineStr">
        <is>
          <t>merged</t>
        </is>
      </c>
      <c r="J2508" t="inlineStr"/>
      <c r="K2508" t="inlineStr"/>
      <c r="L2508" t="inlineStr"/>
      <c r="M2508" t="inlineStr"/>
      <c r="N2508" t="inlineStr"/>
      <c r="O2508" t="inlineStr"/>
      <c r="P2508" t="inlineStr"/>
      <c r="Q2508" t="inlineStr"/>
    </row>
    <row r="2509">
      <c r="A2509" t="inlineStr">
        <is>
          <t>harish</t>
        </is>
      </c>
      <c r="B2509" t="inlineStr">
        <is>
          <t>Harish</t>
        </is>
      </c>
      <c r="C2509" t="inlineStr">
        <is>
          <t>harish@osmosys.co</t>
        </is>
      </c>
      <c r="D2509" t="inlineStr">
        <is>
          <t>incident-reporter</t>
        </is>
      </c>
      <c r="E2509">
        <f>HYPERLINK("http://gitlab.osmosys.co/incident-reporter/incident-reporter-api", "OQSHA-API")</f>
        <v/>
      </c>
      <c r="F2509">
        <f>HYPERLINK("http://gitlab.osmosys.co/incident-reporter/incident-reporter-api/-/merge_requests/4445", "fix: resolve issue with the incident and task export")</f>
        <v/>
      </c>
      <c r="G2509" t="inlineStr">
        <is>
          <t>fix/oqsha-issues</t>
        </is>
      </c>
      <c r="H2509" t="inlineStr">
        <is>
          <t>sprint-19</t>
        </is>
      </c>
      <c r="I2509" t="inlineStr">
        <is>
          <t>merged</t>
        </is>
      </c>
      <c r="J2509" t="inlineStr"/>
      <c r="K2509" t="inlineStr"/>
      <c r="L2509" t="inlineStr"/>
      <c r="M2509" t="inlineStr"/>
      <c r="N2509" t="inlineStr"/>
      <c r="O2509" t="inlineStr"/>
      <c r="P2509" t="inlineStr"/>
      <c r="Q2509" t="inlineStr"/>
    </row>
    <row r="2510">
      <c r="A2510" t="inlineStr">
        <is>
          <t>harish</t>
        </is>
      </c>
      <c r="B2510" t="inlineStr">
        <is>
          <t>Harish</t>
        </is>
      </c>
      <c r="C2510" t="inlineStr">
        <is>
          <t>harish@osmosys.co</t>
        </is>
      </c>
      <c r="D2510" t="inlineStr">
        <is>
          <t>incident-reporter</t>
        </is>
      </c>
      <c r="E2510">
        <f>HYPERLINK("http://gitlab.osmosys.co/incident-reporter/incident-reporter-api", "OQSHA-API")</f>
        <v/>
      </c>
      <c r="F2510">
        <f>HYPERLINK("http://gitlab.osmosys.co/incident-reporter/incident-reporter-api/-/merge_requests/4442", "fix: remove the console log from ptw bll")</f>
        <v/>
      </c>
      <c r="G2510" t="inlineStr">
        <is>
          <t>fix/remove-console-log</t>
        </is>
      </c>
      <c r="H2510" t="inlineStr">
        <is>
          <t>sprint-19</t>
        </is>
      </c>
      <c r="I2510" t="inlineStr">
        <is>
          <t>merged</t>
        </is>
      </c>
      <c r="J2510" t="inlineStr"/>
      <c r="K2510" t="inlineStr"/>
      <c r="L2510" t="inlineStr"/>
      <c r="M2510" t="inlineStr"/>
      <c r="N2510" t="inlineStr"/>
      <c r="O2510" t="inlineStr"/>
      <c r="P2510" t="inlineStr"/>
      <c r="Q2510" t="inlineStr"/>
    </row>
    <row r="2511">
      <c r="A2511" t="inlineStr">
        <is>
          <t>harish</t>
        </is>
      </c>
      <c r="B2511" t="inlineStr">
        <is>
          <t>Harish</t>
        </is>
      </c>
      <c r="C2511" t="inlineStr">
        <is>
          <t>harish@osmosys.co</t>
        </is>
      </c>
      <c r="D2511" t="inlineStr">
        <is>
          <t>incident-reporter</t>
        </is>
      </c>
      <c r="E2511">
        <f>HYPERLINK("http://gitlab.osmosys.co/incident-reporter/incident-reporter-api", "OQSHA-API")</f>
        <v/>
      </c>
      <c r="F2511">
        <f>HYPERLINK("http://gitlab.osmosys.co/incident-reporter/incident-reporter-api/-/merge_requests/4441", "Chore/merge sprint 18 to sprint 19")</f>
        <v/>
      </c>
      <c r="G2511" t="inlineStr">
        <is>
          <t>chore/merge-sprint-18-to-sprint-19</t>
        </is>
      </c>
      <c r="H2511" t="inlineStr">
        <is>
          <t>sprint-19</t>
        </is>
      </c>
      <c r="I2511" t="inlineStr">
        <is>
          <t>merged</t>
        </is>
      </c>
      <c r="J2511" t="inlineStr"/>
      <c r="K2511" t="inlineStr"/>
      <c r="L2511" t="inlineStr"/>
      <c r="M2511" t="inlineStr"/>
      <c r="N2511" t="inlineStr"/>
      <c r="O2511" t="inlineStr"/>
      <c r="P2511" t="inlineStr"/>
      <c r="Q2511" t="inlineStr"/>
    </row>
    <row r="2512">
      <c r="A2512" t="inlineStr">
        <is>
          <t>harish</t>
        </is>
      </c>
      <c r="B2512" t="inlineStr">
        <is>
          <t>Harish</t>
        </is>
      </c>
      <c r="C2512" t="inlineStr">
        <is>
          <t>harish@osmosys.co</t>
        </is>
      </c>
      <c r="D2512" t="inlineStr">
        <is>
          <t>incident-reporter</t>
        </is>
      </c>
      <c r="E2512">
        <f>HYPERLINK("http://gitlab.osmosys.co/incident-reporter/incident-reporter-api", "OQSHA-API")</f>
        <v/>
      </c>
      <c r="F2512">
        <f>HYPERLINK("http://gitlab.osmosys.co/incident-reporter/incident-reporter-api/-/merge_requests/4440", "Chore/merge sprint 18")</f>
        <v/>
      </c>
      <c r="G2512" t="inlineStr">
        <is>
          <t>chore/merge-sprint-18</t>
        </is>
      </c>
      <c r="H2512" t="inlineStr">
        <is>
          <t>sprint-19</t>
        </is>
      </c>
      <c r="I2512" t="inlineStr">
        <is>
          <t>closed</t>
        </is>
      </c>
      <c r="J2512" t="inlineStr"/>
      <c r="K2512" t="inlineStr"/>
      <c r="L2512" t="inlineStr"/>
      <c r="M2512" t="inlineStr"/>
      <c r="N2512" t="inlineStr"/>
      <c r="O2512" t="inlineStr"/>
      <c r="P2512" t="inlineStr"/>
      <c r="Q2512" t="inlineStr"/>
    </row>
    <row r="2513">
      <c r="A2513" t="inlineStr">
        <is>
          <t>harish</t>
        </is>
      </c>
      <c r="B2513" t="inlineStr">
        <is>
          <t>Harish</t>
        </is>
      </c>
      <c r="C2513" t="inlineStr">
        <is>
          <t>harish@osmosys.co</t>
        </is>
      </c>
      <c r="D2513" t="inlineStr">
        <is>
          <t>incident-reporter</t>
        </is>
      </c>
      <c r="E2513">
        <f>HYPERLINK("http://gitlab.osmosys.co/incident-reporter/incident-reporter-api", "OQSHA-API")</f>
        <v/>
      </c>
      <c r="F2513">
        <f>HYPERLINK("http://gitlab.osmosys.co/incident-reporter/incident-reporter-api/-/merge_requests/4433", "feat: add db and api changes for plant kpi")</f>
        <v/>
      </c>
      <c r="G2513" t="inlineStr">
        <is>
          <t>feat/plant-kpi</t>
        </is>
      </c>
      <c r="H2513" t="inlineStr">
        <is>
          <t>sprint-19</t>
        </is>
      </c>
      <c r="I2513" t="inlineStr">
        <is>
          <t>merged</t>
        </is>
      </c>
      <c r="J2513" t="inlineStr">
        <is>
          <t>14d56205d65339a25711c139d769d4fec42a4379</t>
        </is>
      </c>
      <c r="K2513">
        <f>HYPERLINK("http://gitlab.osmosys.co/incident-reporter/incident-reporter-api/-/merge_requests/4433#note_245581", "Follow prefix - idx not IX")</f>
        <v/>
      </c>
      <c r="L2513" t="inlineStr">
        <is>
          <t>2025-08-01 16:36:07.222 IST</t>
        </is>
      </c>
      <c r="M2513" t="inlineStr">
        <is>
          <t>Sindhusha</t>
        </is>
      </c>
      <c r="N2513" t="inlineStr">
        <is>
          <t>Yes</t>
        </is>
      </c>
      <c r="O2513" t="inlineStr">
        <is>
          <t>Yes</t>
        </is>
      </c>
      <c r="P2513" t="inlineStr">
        <is>
          <t>Sindhusha</t>
        </is>
      </c>
      <c r="Q2513" t="inlineStr">
        <is>
          <t>Bad</t>
        </is>
      </c>
    </row>
    <row r="2514">
      <c r="A2514" t="inlineStr">
        <is>
          <t>harish</t>
        </is>
      </c>
      <c r="B2514" t="inlineStr">
        <is>
          <t>Harish</t>
        </is>
      </c>
      <c r="C2514" t="inlineStr">
        <is>
          <t>harish@osmosys.co</t>
        </is>
      </c>
      <c r="D2514" t="inlineStr">
        <is>
          <t>incident-reporter</t>
        </is>
      </c>
      <c r="E2514">
        <f>HYPERLINK("http://gitlab.osmosys.co/incident-reporter/incident-reporter-api", "OQSHA-API")</f>
        <v/>
      </c>
      <c r="F2514">
        <f>HYPERLINK("http://gitlab.osmosys.co/incident-reporter/incident-reporter-api/-/merge_requests/4433", "feat: add db and api changes for plant kpi")</f>
        <v/>
      </c>
      <c r="G2514" t="inlineStr">
        <is>
          <t>feat/plant-kpi</t>
        </is>
      </c>
      <c r="H2514" t="inlineStr">
        <is>
          <t>sprint-19</t>
        </is>
      </c>
      <c r="I2514" t="inlineStr">
        <is>
          <t>merged</t>
        </is>
      </c>
      <c r="J2514" t="inlineStr">
        <is>
          <t>14d56205d65339a25711c139d769d4fec42a4379</t>
        </is>
      </c>
      <c r="K2514">
        <f>HYPERLINK("http://gitlab.osmosys.co/incident-reporter/incident-reporter-api/-/merge_requests/4433#note_245609", "Updated")</f>
        <v/>
      </c>
      <c r="L2514" t="inlineStr">
        <is>
          <t>2025-08-01 16:48:04.602 IST</t>
        </is>
      </c>
      <c r="M2514" t="inlineStr">
        <is>
          <t>Harish</t>
        </is>
      </c>
      <c r="N2514" t="inlineStr">
        <is>
          <t>No</t>
        </is>
      </c>
      <c r="O2514" t="inlineStr">
        <is>
          <t>Yes</t>
        </is>
      </c>
      <c r="P2514" t="inlineStr">
        <is>
          <t>Sindhusha</t>
        </is>
      </c>
      <c r="Q2514" t="inlineStr">
        <is>
          <t>Bad</t>
        </is>
      </c>
    </row>
    <row r="2515">
      <c r="A2515" t="inlineStr">
        <is>
          <t>harish</t>
        </is>
      </c>
      <c r="B2515" t="inlineStr">
        <is>
          <t>Harish</t>
        </is>
      </c>
      <c r="C2515" t="inlineStr">
        <is>
          <t>harish@osmosys.co</t>
        </is>
      </c>
      <c r="D2515" t="inlineStr">
        <is>
          <t>incident-reporter</t>
        </is>
      </c>
      <c r="E2515">
        <f>HYPERLINK("http://gitlab.osmosys.co/incident-reporter/incident-reporter-api", "OQSHA-API")</f>
        <v/>
      </c>
      <c r="F2515">
        <f>HYPERLINK("http://gitlab.osmosys.co/incident-reporter/incident-reporter-api/-/merge_requests/4416", "feat: add changes for insertion of user kpis through master")</f>
        <v/>
      </c>
      <c r="G2515" t="inlineStr">
        <is>
          <t>feat/kpi-add-on</t>
        </is>
      </c>
      <c r="H2515" t="inlineStr">
        <is>
          <t>sprint-19</t>
        </is>
      </c>
      <c r="I2515" t="inlineStr">
        <is>
          <t>merged</t>
        </is>
      </c>
      <c r="J2515" t="inlineStr"/>
      <c r="K2515" t="inlineStr"/>
      <c r="L2515" t="inlineStr"/>
      <c r="M2515" t="inlineStr"/>
      <c r="N2515" t="inlineStr"/>
      <c r="O2515" t="inlineStr"/>
      <c r="P2515" t="inlineStr"/>
      <c r="Q2515" t="inlineStr"/>
    </row>
    <row r="2516">
      <c r="A2516" t="inlineStr">
        <is>
          <t>harish</t>
        </is>
      </c>
      <c r="B2516" t="inlineStr">
        <is>
          <t>Harish</t>
        </is>
      </c>
      <c r="C2516" t="inlineStr">
        <is>
          <t>harish@osmosys.co</t>
        </is>
      </c>
      <c r="D2516" t="inlineStr">
        <is>
          <t>incident-reporter</t>
        </is>
      </c>
      <c r="E2516">
        <f>HYPERLINK("http://gitlab.osmosys.co/incident-reporter/incident-reporter-api", "OQSHA-API")</f>
        <v/>
      </c>
      <c r="F2516">
        <f>HYPERLINK("http://gitlab.osmosys.co/incident-reporter/incident-reporter-api/-/merge_requests/4414", "fix: remove index from description column")</f>
        <v/>
      </c>
      <c r="G2516" t="inlineStr">
        <is>
          <t>fix/remove-description-index</t>
        </is>
      </c>
      <c r="H2516" t="inlineStr">
        <is>
          <t>sprint-19</t>
        </is>
      </c>
      <c r="I2516" t="inlineStr">
        <is>
          <t>merged</t>
        </is>
      </c>
      <c r="J2516" t="inlineStr"/>
      <c r="K2516" t="inlineStr"/>
      <c r="L2516" t="inlineStr"/>
      <c r="M2516" t="inlineStr"/>
      <c r="N2516" t="inlineStr"/>
      <c r="O2516" t="inlineStr"/>
      <c r="P2516" t="inlineStr"/>
      <c r="Q2516" t="inlineStr"/>
    </row>
    <row r="2517">
      <c r="A2517" t="inlineStr">
        <is>
          <t>harish</t>
        </is>
      </c>
      <c r="B2517" t="inlineStr">
        <is>
          <t>Harish</t>
        </is>
      </c>
      <c r="C2517" t="inlineStr">
        <is>
          <t>harish@osmosys.co</t>
        </is>
      </c>
      <c r="D2517" t="inlineStr">
        <is>
          <t>incident-reporter</t>
        </is>
      </c>
      <c r="E2517">
        <f>HYPERLINK("http://gitlab.osmosys.co/incident-reporter/incident-reporter-api", "OQSHA-API")</f>
        <v/>
      </c>
      <c r="F2517">
        <f>HYPERLINK("http://gitlab.osmosys.co/incident-reporter/incident-reporter-api/-/merge_requests/4411", "fix: resolve migration issue")</f>
        <v/>
      </c>
      <c r="G2517" t="inlineStr">
        <is>
          <t>fix/kpi-fluent-migration</t>
        </is>
      </c>
      <c r="H2517" t="inlineStr">
        <is>
          <t>sprint-19</t>
        </is>
      </c>
      <c r="I2517" t="inlineStr">
        <is>
          <t>merged</t>
        </is>
      </c>
      <c r="J2517" t="inlineStr"/>
      <c r="K2517" t="inlineStr"/>
      <c r="L2517" t="inlineStr"/>
      <c r="M2517" t="inlineStr"/>
      <c r="N2517" t="inlineStr"/>
      <c r="O2517" t="inlineStr"/>
      <c r="P2517" t="inlineStr"/>
      <c r="Q2517" t="inlineStr"/>
    </row>
    <row r="2518">
      <c r="A2518" t="inlineStr">
        <is>
          <t>harish</t>
        </is>
      </c>
      <c r="B2518" t="inlineStr">
        <is>
          <t>Harish</t>
        </is>
      </c>
      <c r="C2518" t="inlineStr">
        <is>
          <t>harish@osmosys.co</t>
        </is>
      </c>
      <c r="D2518" t="inlineStr">
        <is>
          <t>incident-reporter</t>
        </is>
      </c>
      <c r="E2518">
        <f>HYPERLINK("http://gitlab.osmosys.co/incident-reporter/incident-reporter-api", "OQSHA-API")</f>
        <v/>
      </c>
      <c r="F2518">
        <f>HYPERLINK("http://gitlab.osmosys.co/incident-reporter/incident-reporter-api/-/merge_requests/4410", "feat: update the default timestamp for fluent migration")</f>
        <v/>
      </c>
      <c r="G2518" t="inlineStr">
        <is>
          <t>feat/add-kpi-apis</t>
        </is>
      </c>
      <c r="H2518" t="inlineStr">
        <is>
          <t>sprint-19</t>
        </is>
      </c>
      <c r="I2518" t="inlineStr">
        <is>
          <t>closed</t>
        </is>
      </c>
      <c r="J2518" t="inlineStr"/>
      <c r="K2518" t="inlineStr"/>
      <c r="L2518" t="inlineStr"/>
      <c r="M2518" t="inlineStr"/>
      <c r="N2518" t="inlineStr"/>
      <c r="O2518" t="inlineStr"/>
      <c r="P2518" t="inlineStr"/>
      <c r="Q2518" t="inlineStr"/>
    </row>
    <row r="2519">
      <c r="A2519" t="inlineStr">
        <is>
          <t>harish</t>
        </is>
      </c>
      <c r="B2519" t="inlineStr">
        <is>
          <t>Harish</t>
        </is>
      </c>
      <c r="C2519" t="inlineStr">
        <is>
          <t>harish@osmosys.co</t>
        </is>
      </c>
      <c r="D2519" t="inlineStr">
        <is>
          <t>incident-reporter</t>
        </is>
      </c>
      <c r="E2519">
        <f>HYPERLINK("http://gitlab.osmosys.co/incident-reporter/incident-reporter-api", "OQSHA-API")</f>
        <v/>
      </c>
      <c r="F2519">
        <f>HYPERLINK("http://gitlab.osmosys.co/incident-reporter/incident-reporter-api/-/merge_requests/4400", "feat: add api to create kpi master")</f>
        <v/>
      </c>
      <c r="G2519" t="inlineStr">
        <is>
          <t>feat/add-kpi-apis</t>
        </is>
      </c>
      <c r="H2519" t="inlineStr">
        <is>
          <t>sprint-19</t>
        </is>
      </c>
      <c r="I2519" t="inlineStr">
        <is>
          <t>merged</t>
        </is>
      </c>
      <c r="J2519" t="inlineStr">
        <is>
          <t>65bc2cd2bf01476288cf9a2a39dae00273313138</t>
        </is>
      </c>
      <c r="K2519">
        <f>HYPERLINK("http://gitlab.osmosys.co/incident-reporter/incident-reporter-api/-/merge_requests/4400#note_244267", "Lets keep it just KPI, our acm module will be KPI")</f>
        <v/>
      </c>
      <c r="L2519" t="inlineStr">
        <is>
          <t>2025-07-30 15:12:54.296 IST</t>
        </is>
      </c>
      <c r="M2519" t="inlineStr">
        <is>
          <t>Sindhusha</t>
        </is>
      </c>
      <c r="N2519" t="inlineStr">
        <is>
          <t>Yes</t>
        </is>
      </c>
      <c r="O2519" t="inlineStr">
        <is>
          <t>Yes</t>
        </is>
      </c>
      <c r="P2519" t="inlineStr">
        <is>
          <t>Sindhusha</t>
        </is>
      </c>
      <c r="Q2519" t="inlineStr">
        <is>
          <t>Bad</t>
        </is>
      </c>
    </row>
    <row r="2520">
      <c r="A2520" t="inlineStr">
        <is>
          <t>harish</t>
        </is>
      </c>
      <c r="B2520" t="inlineStr">
        <is>
          <t>Harish</t>
        </is>
      </c>
      <c r="C2520" t="inlineStr">
        <is>
          <t>harish@osmosys.co</t>
        </is>
      </c>
      <c r="D2520" t="inlineStr">
        <is>
          <t>incident-reporter</t>
        </is>
      </c>
      <c r="E2520">
        <f>HYPERLINK("http://gitlab.osmosys.co/incident-reporter/incident-reporter-api", "OQSHA-API")</f>
        <v/>
      </c>
      <c r="F2520">
        <f>HYPERLINK("http://gitlab.osmosys.co/incident-reporter/incident-reporter-api/-/merge_requests/4400", "feat: add api to create kpi master")</f>
        <v/>
      </c>
      <c r="G2520" t="inlineStr">
        <is>
          <t>feat/add-kpi-apis</t>
        </is>
      </c>
      <c r="H2520" t="inlineStr">
        <is>
          <t>sprint-19</t>
        </is>
      </c>
      <c r="I2520" t="inlineStr">
        <is>
          <t>merged</t>
        </is>
      </c>
      <c r="J2520" t="inlineStr">
        <is>
          <t>65bc2cd2bf01476288cf9a2a39dae00273313138</t>
        </is>
      </c>
      <c r="K2520">
        <f>HYPERLINK("http://gitlab.osmosys.co/incident-reporter/incident-reporter-api/-/merge_requests/4400#note_244301", "updated")</f>
        <v/>
      </c>
      <c r="L2520" t="inlineStr">
        <is>
          <t>2025-07-30 15:24:13.459 IST</t>
        </is>
      </c>
      <c r="M2520" t="inlineStr">
        <is>
          <t>Harish</t>
        </is>
      </c>
      <c r="N2520" t="inlineStr">
        <is>
          <t>No</t>
        </is>
      </c>
      <c r="O2520" t="inlineStr">
        <is>
          <t>Yes</t>
        </is>
      </c>
      <c r="P2520" t="inlineStr">
        <is>
          <t>Sindhusha</t>
        </is>
      </c>
      <c r="Q2520" t="inlineStr">
        <is>
          <t>Bad</t>
        </is>
      </c>
    </row>
    <row r="2521">
      <c r="A2521" t="inlineStr">
        <is>
          <t>harish</t>
        </is>
      </c>
      <c r="B2521" t="inlineStr">
        <is>
          <t>Harish</t>
        </is>
      </c>
      <c r="C2521" t="inlineStr">
        <is>
          <t>harish@osmosys.co</t>
        </is>
      </c>
      <c r="D2521" t="inlineStr">
        <is>
          <t>incident-reporter</t>
        </is>
      </c>
      <c r="E2521">
        <f>HYPERLINK("http://gitlab.osmosys.co/incident-reporter/incident-reporter-api", "OQSHA-API")</f>
        <v/>
      </c>
      <c r="F2521">
        <f>HYPERLINK("http://gitlab.osmosys.co/incident-reporter/incident-reporter-api/-/merge_requests/4400", "feat: add api to create kpi master")</f>
        <v/>
      </c>
      <c r="G2521" t="inlineStr">
        <is>
          <t>feat/add-kpi-apis</t>
        </is>
      </c>
      <c r="H2521" t="inlineStr">
        <is>
          <t>sprint-19</t>
        </is>
      </c>
      <c r="I2521" t="inlineStr">
        <is>
          <t>merged</t>
        </is>
      </c>
      <c r="J2521" t="inlineStr">
        <is>
          <t>1f580c064eea741f76eb30f88e221eabdf05dc6f</t>
        </is>
      </c>
      <c r="K2521">
        <f>HYPERLINK("http://gitlab.osmosys.co/incident-reporter/incident-reporter-api/-/merge_requests/4400#note_244268", "Why Dto?? Keep DTO")</f>
        <v/>
      </c>
      <c r="L2521" t="inlineStr">
        <is>
          <t>2025-07-30 15:14:12.091 IST</t>
        </is>
      </c>
      <c r="M2521" t="inlineStr">
        <is>
          <t>Sindhusha</t>
        </is>
      </c>
      <c r="N2521" t="inlineStr">
        <is>
          <t>Yes</t>
        </is>
      </c>
      <c r="O2521" t="inlineStr">
        <is>
          <t>Yes</t>
        </is>
      </c>
      <c r="P2521" t="inlineStr">
        <is>
          <t>Sindhusha</t>
        </is>
      </c>
      <c r="Q2521" t="inlineStr">
        <is>
          <t>Neutral</t>
        </is>
      </c>
    </row>
    <row r="2522">
      <c r="A2522" t="inlineStr">
        <is>
          <t>harish</t>
        </is>
      </c>
      <c r="B2522" t="inlineStr">
        <is>
          <t>Harish</t>
        </is>
      </c>
      <c r="C2522" t="inlineStr">
        <is>
          <t>harish@osmosys.co</t>
        </is>
      </c>
      <c r="D2522" t="inlineStr">
        <is>
          <t>incident-reporter</t>
        </is>
      </c>
      <c r="E2522">
        <f>HYPERLINK("http://gitlab.osmosys.co/incident-reporter/incident-reporter-api", "OQSHA-API")</f>
        <v/>
      </c>
      <c r="F2522">
        <f>HYPERLINK("http://gitlab.osmosys.co/incident-reporter/incident-reporter-api/-/merge_requests/4400", "feat: add api to create kpi master")</f>
        <v/>
      </c>
      <c r="G2522" t="inlineStr">
        <is>
          <t>feat/add-kpi-apis</t>
        </is>
      </c>
      <c r="H2522" t="inlineStr">
        <is>
          <t>sprint-19</t>
        </is>
      </c>
      <c r="I2522" t="inlineStr">
        <is>
          <t>merged</t>
        </is>
      </c>
      <c r="J2522" t="inlineStr">
        <is>
          <t>1f580c064eea741f76eb30f88e221eabdf05dc6f</t>
        </is>
      </c>
      <c r="K2522">
        <f>HYPERLINK("http://gitlab.osmosys.co/incident-reporter/incident-reporter-api/-/merge_requests/4400#note_244303", "As it a UI input dto is defined")</f>
        <v/>
      </c>
      <c r="L2522" t="inlineStr">
        <is>
          <t>2025-07-30 15:27:09.786 IST</t>
        </is>
      </c>
      <c r="M2522" t="inlineStr">
        <is>
          <t>Harish</t>
        </is>
      </c>
      <c r="N2522" t="inlineStr">
        <is>
          <t>No</t>
        </is>
      </c>
      <c r="O2522" t="inlineStr">
        <is>
          <t>Yes</t>
        </is>
      </c>
      <c r="P2522" t="inlineStr">
        <is>
          <t>Sindhusha</t>
        </is>
      </c>
      <c r="Q2522" t="inlineStr">
        <is>
          <t>Neutral</t>
        </is>
      </c>
    </row>
    <row r="2523">
      <c r="A2523" t="inlineStr">
        <is>
          <t>harish</t>
        </is>
      </c>
      <c r="B2523" t="inlineStr">
        <is>
          <t>Harish</t>
        </is>
      </c>
      <c r="C2523" t="inlineStr">
        <is>
          <t>harish@osmosys.co</t>
        </is>
      </c>
      <c r="D2523" t="inlineStr">
        <is>
          <t>incident-reporter</t>
        </is>
      </c>
      <c r="E2523">
        <f>HYPERLINK("http://gitlab.osmosys.co/incident-reporter/incident-reporter-api", "OQSHA-API")</f>
        <v/>
      </c>
      <c r="F2523">
        <f>HYPERLINK("http://gitlab.osmosys.co/incident-reporter/incident-reporter-api/-/merge_requests/4400", "feat: add api to create kpi master")</f>
        <v/>
      </c>
      <c r="G2523" t="inlineStr">
        <is>
          <t>feat/add-kpi-apis</t>
        </is>
      </c>
      <c r="H2523" t="inlineStr">
        <is>
          <t>sprint-19</t>
        </is>
      </c>
      <c r="I2523" t="inlineStr">
        <is>
          <t>merged</t>
        </is>
      </c>
      <c r="J2523" t="inlineStr">
        <is>
          <t>1f580c064eea741f76eb30f88e221eabdf05dc6f</t>
        </is>
      </c>
      <c r="K2523">
        <f>HYPERLINK("http://gitlab.osmosys.co/incident-reporter/incident-reporter-api/-/merge_requests/4400#note_244308", "Is it the standard we are following across all modules?")</f>
        <v/>
      </c>
      <c r="L2523" t="inlineStr">
        <is>
          <t>2025-07-30 15:30:07.245 IST</t>
        </is>
      </c>
      <c r="M2523" t="inlineStr">
        <is>
          <t>Sindhusha</t>
        </is>
      </c>
      <c r="N2523" t="inlineStr">
        <is>
          <t>Yes</t>
        </is>
      </c>
      <c r="O2523" t="inlineStr">
        <is>
          <t>Yes</t>
        </is>
      </c>
      <c r="P2523" t="inlineStr">
        <is>
          <t>Sindhusha</t>
        </is>
      </c>
      <c r="Q2523" t="inlineStr">
        <is>
          <t>Neutral</t>
        </is>
      </c>
    </row>
    <row r="2524">
      <c r="A2524" t="inlineStr">
        <is>
          <t>harish</t>
        </is>
      </c>
      <c r="B2524" t="inlineStr">
        <is>
          <t>Harish</t>
        </is>
      </c>
      <c r="C2524" t="inlineStr">
        <is>
          <t>harish@osmosys.co</t>
        </is>
      </c>
      <c r="D2524" t="inlineStr">
        <is>
          <t>incident-reporter</t>
        </is>
      </c>
      <c r="E2524">
        <f>HYPERLINK("http://gitlab.osmosys.co/incident-reporter/incident-reporter-api", "OQSHA-API")</f>
        <v/>
      </c>
      <c r="F2524">
        <f>HYPERLINK("http://gitlab.osmosys.co/incident-reporter/incident-reporter-api/-/merge_requests/4400", "feat: add api to create kpi master")</f>
        <v/>
      </c>
      <c r="G2524" t="inlineStr">
        <is>
          <t>feat/add-kpi-apis</t>
        </is>
      </c>
      <c r="H2524" t="inlineStr">
        <is>
          <t>sprint-19</t>
        </is>
      </c>
      <c r="I2524" t="inlineStr">
        <is>
          <t>merged</t>
        </is>
      </c>
      <c r="J2524" t="inlineStr">
        <is>
          <t>1f580c064eea741f76eb30f88e221eabdf05dc6f</t>
        </is>
      </c>
      <c r="K2524">
        <f>HYPERLINK("http://gitlab.osmosys.co/incident-reporter/incident-reporter-api/-/merge_requests/4400#note_244325", "yes for new modules it followed - as technically DBO should represent the actuall Database - so we define dto where we have UI input or need to include more info in the response")</f>
        <v/>
      </c>
      <c r="L2524" t="inlineStr">
        <is>
          <t>2025-07-30 15:43:41.762 IST</t>
        </is>
      </c>
      <c r="M2524" t="inlineStr">
        <is>
          <t>Harish</t>
        </is>
      </c>
      <c r="N2524" t="inlineStr">
        <is>
          <t>No</t>
        </is>
      </c>
      <c r="O2524" t="inlineStr">
        <is>
          <t>Yes</t>
        </is>
      </c>
      <c r="P2524" t="inlineStr">
        <is>
          <t>Sindhusha</t>
        </is>
      </c>
      <c r="Q2524" t="inlineStr">
        <is>
          <t>Neutral</t>
        </is>
      </c>
    </row>
    <row r="2525">
      <c r="A2525" t="inlineStr">
        <is>
          <t>harish</t>
        </is>
      </c>
      <c r="B2525" t="inlineStr">
        <is>
          <t>Harish</t>
        </is>
      </c>
      <c r="C2525" t="inlineStr">
        <is>
          <t>harish@osmosys.co</t>
        </is>
      </c>
      <c r="D2525" t="inlineStr">
        <is>
          <t>incident-reporter</t>
        </is>
      </c>
      <c r="E2525">
        <f>HYPERLINK("http://gitlab.osmosys.co/incident-reporter/incident-reporter-api", "OQSHA-API")</f>
        <v/>
      </c>
      <c r="F2525">
        <f>HYPERLINK("http://gitlab.osmosys.co/incident-reporter/incident-reporter-api/-/merge_requests/4400", "feat: add api to create kpi master")</f>
        <v/>
      </c>
      <c r="G2525" t="inlineStr">
        <is>
          <t>feat/add-kpi-apis</t>
        </is>
      </c>
      <c r="H2525" t="inlineStr">
        <is>
          <t>sprint-19</t>
        </is>
      </c>
      <c r="I2525" t="inlineStr">
        <is>
          <t>merged</t>
        </is>
      </c>
      <c r="J2525" t="inlineStr">
        <is>
          <t>70c3d392a4a20a502c1fb19fcc7d64a2b5df5bee</t>
        </is>
      </c>
      <c r="K2525">
        <f>HYPERLINK("http://gitlab.osmosys.co/incident-reporter/incident-reporter-api/-/merge_requests/4400#note_244270", "I don't see MasterId in the route, how will this WORK???")</f>
        <v/>
      </c>
      <c r="L2525" t="inlineStr">
        <is>
          <t>2025-07-30 15:19:00.869 IST</t>
        </is>
      </c>
      <c r="M2525" t="inlineStr">
        <is>
          <t>Sindhusha</t>
        </is>
      </c>
      <c r="N2525" t="inlineStr">
        <is>
          <t>Yes</t>
        </is>
      </c>
      <c r="O2525" t="inlineStr">
        <is>
          <t>Yes</t>
        </is>
      </c>
      <c r="P2525" t="inlineStr">
        <is>
          <t>Sindhusha</t>
        </is>
      </c>
      <c r="Q2525" t="inlineStr">
        <is>
          <t>Bad</t>
        </is>
      </c>
    </row>
    <row r="2526">
      <c r="A2526" t="inlineStr">
        <is>
          <t>harish</t>
        </is>
      </c>
      <c r="B2526" t="inlineStr">
        <is>
          <t>Harish</t>
        </is>
      </c>
      <c r="C2526" t="inlineStr">
        <is>
          <t>harish@osmosys.co</t>
        </is>
      </c>
      <c r="D2526" t="inlineStr">
        <is>
          <t>incident-reporter</t>
        </is>
      </c>
      <c r="E2526">
        <f>HYPERLINK("http://gitlab.osmosys.co/incident-reporter/incident-reporter-api", "OQSHA-API")</f>
        <v/>
      </c>
      <c r="F2526">
        <f>HYPERLINK("http://gitlab.osmosys.co/incident-reporter/incident-reporter-api/-/merge_requests/4400", "feat: add api to create kpi master")</f>
        <v/>
      </c>
      <c r="G2526" t="inlineStr">
        <is>
          <t>feat/add-kpi-apis</t>
        </is>
      </c>
      <c r="H2526" t="inlineStr">
        <is>
          <t>sprint-19</t>
        </is>
      </c>
      <c r="I2526" t="inlineStr">
        <is>
          <t>merged</t>
        </is>
      </c>
      <c r="J2526" t="inlineStr">
        <is>
          <t>70c3d392a4a20a502c1fb19fcc7d64a2b5df5bee</t>
        </is>
      </c>
      <c r="K2526">
        <f>HYPERLINK("http://gitlab.osmosys.co/incident-reporter/incident-reporter-api/-/merge_requests/4400#note_244294", "We expect that in payload")</f>
        <v/>
      </c>
      <c r="L2526" t="inlineStr">
        <is>
          <t>2025-07-30 15:23:16.605 IST</t>
        </is>
      </c>
      <c r="M2526" t="inlineStr">
        <is>
          <t>Harish</t>
        </is>
      </c>
      <c r="N2526" t="inlineStr">
        <is>
          <t>No</t>
        </is>
      </c>
      <c r="O2526" t="inlineStr">
        <is>
          <t>Yes</t>
        </is>
      </c>
      <c r="P2526" t="inlineStr">
        <is>
          <t>Sindhusha</t>
        </is>
      </c>
      <c r="Q2526" t="inlineStr">
        <is>
          <t>Bad</t>
        </is>
      </c>
    </row>
    <row r="2527">
      <c r="A2527" t="inlineStr">
        <is>
          <t>harish</t>
        </is>
      </c>
      <c r="B2527" t="inlineStr">
        <is>
          <t>Harish</t>
        </is>
      </c>
      <c r="C2527" t="inlineStr">
        <is>
          <t>harish@osmosys.co</t>
        </is>
      </c>
      <c r="D2527" t="inlineStr">
        <is>
          <t>incident-reporter</t>
        </is>
      </c>
      <c r="E2527">
        <f>HYPERLINK("http://gitlab.osmosys.co/incident-reporter/incident-reporter-api", "OQSHA-API")</f>
        <v/>
      </c>
      <c r="F2527">
        <f>HYPERLINK("http://gitlab.osmosys.co/incident-reporter/incident-reporter-api/-/merge_requests/4400", "feat: add api to create kpi master")</f>
        <v/>
      </c>
      <c r="G2527" t="inlineStr">
        <is>
          <t>feat/add-kpi-apis</t>
        </is>
      </c>
      <c r="H2527" t="inlineStr">
        <is>
          <t>sprint-19</t>
        </is>
      </c>
      <c r="I2527" t="inlineStr">
        <is>
          <t>merged</t>
        </is>
      </c>
      <c r="J2527" t="inlineStr">
        <is>
          <t>70c3d392a4a20a502c1fb19fcc7d64a2b5df5bee</t>
        </is>
      </c>
      <c r="K2527">
        <f>HYPERLINK("http://gitlab.osmosys.co/incident-reporter/incident-reporter-api/-/merge_requests/4400#note_244307", "Is it standard we are following across all modules?")</f>
        <v/>
      </c>
      <c r="L2527" t="inlineStr">
        <is>
          <t>2025-07-30 15:29:54.003 IST</t>
        </is>
      </c>
      <c r="M2527" t="inlineStr">
        <is>
          <t>Sindhusha</t>
        </is>
      </c>
      <c r="N2527" t="inlineStr">
        <is>
          <t>Yes</t>
        </is>
      </c>
      <c r="O2527" t="inlineStr">
        <is>
          <t>Yes</t>
        </is>
      </c>
      <c r="P2527" t="inlineStr">
        <is>
          <t>Sindhusha</t>
        </is>
      </c>
      <c r="Q2527" t="inlineStr">
        <is>
          <t>Bad</t>
        </is>
      </c>
    </row>
    <row r="2528">
      <c r="A2528" t="inlineStr">
        <is>
          <t>harish</t>
        </is>
      </c>
      <c r="B2528" t="inlineStr">
        <is>
          <t>Harish</t>
        </is>
      </c>
      <c r="C2528" t="inlineStr">
        <is>
          <t>harish@osmosys.co</t>
        </is>
      </c>
      <c r="D2528" t="inlineStr">
        <is>
          <t>incident-reporter</t>
        </is>
      </c>
      <c r="E2528">
        <f>HYPERLINK("http://gitlab.osmosys.co/incident-reporter/incident-reporter-api", "OQSHA-API")</f>
        <v/>
      </c>
      <c r="F2528">
        <f>HYPERLINK("http://gitlab.osmosys.co/incident-reporter/incident-reporter-api/-/merge_requests/4400", "feat: add api to create kpi master")</f>
        <v/>
      </c>
      <c r="G2528" t="inlineStr">
        <is>
          <t>feat/add-kpi-apis</t>
        </is>
      </c>
      <c r="H2528" t="inlineStr">
        <is>
          <t>sprint-19</t>
        </is>
      </c>
      <c r="I2528" t="inlineStr">
        <is>
          <t>merged</t>
        </is>
      </c>
      <c r="J2528" t="inlineStr">
        <is>
          <t>70c3d392a4a20a502c1fb19fcc7d64a2b5df5bee</t>
        </is>
      </c>
      <c r="K2528">
        <f>HYPERLINK("http://gitlab.osmosys.co/incident-reporter/incident-reporter-api/-/merge_requests/4400#note_244324", "updated this to have it in route")</f>
        <v/>
      </c>
      <c r="L2528" t="inlineStr">
        <is>
          <t>2025-07-30 15:42:25.443 IST</t>
        </is>
      </c>
      <c r="M2528" t="inlineStr">
        <is>
          <t>Harish</t>
        </is>
      </c>
      <c r="N2528" t="inlineStr">
        <is>
          <t>No</t>
        </is>
      </c>
      <c r="O2528" t="inlineStr">
        <is>
          <t>Yes</t>
        </is>
      </c>
      <c r="P2528" t="inlineStr">
        <is>
          <t>Sindhusha</t>
        </is>
      </c>
      <c r="Q2528" t="inlineStr">
        <is>
          <t>Bad</t>
        </is>
      </c>
    </row>
    <row r="2529">
      <c r="A2529" t="inlineStr">
        <is>
          <t>harish</t>
        </is>
      </c>
      <c r="B2529" t="inlineStr">
        <is>
          <t>Harish</t>
        </is>
      </c>
      <c r="C2529" t="inlineStr">
        <is>
          <t>harish@osmosys.co</t>
        </is>
      </c>
      <c r="D2529" t="inlineStr">
        <is>
          <t>incident-reporter</t>
        </is>
      </c>
      <c r="E2529">
        <f>HYPERLINK("http://gitlab.osmosys.co/incident-reporter/incident-reporter-api", "OQSHA-API")</f>
        <v/>
      </c>
      <c r="F2529">
        <f>HYPERLINK("http://gitlab.osmosys.co/incident-reporter/incident-reporter-api/-/merge_requests/4400", "feat: add api to create kpi master")</f>
        <v/>
      </c>
      <c r="G2529" t="inlineStr">
        <is>
          <t>feat/add-kpi-apis</t>
        </is>
      </c>
      <c r="H2529" t="inlineStr">
        <is>
          <t>sprint-19</t>
        </is>
      </c>
      <c r="I2529" t="inlineStr">
        <is>
          <t>merged</t>
        </is>
      </c>
      <c r="J2529" t="inlineStr">
        <is>
          <t>7df1c8ac1f6694dfec10d7587115ee56e0cef0d2</t>
        </is>
      </c>
      <c r="K2529">
        <f>HYPERLINK("http://gitlab.osmosys.co/incident-reporter/incident-reporter-api/-/merge_requests/4400#note_244276", "Lets have this property name "MasterKpis"")</f>
        <v/>
      </c>
      <c r="L2529" t="inlineStr">
        <is>
          <t>2025-07-30 15:20:30.466 IST</t>
        </is>
      </c>
      <c r="M2529" t="inlineStr">
        <is>
          <t>Sindhusha</t>
        </is>
      </c>
      <c r="N2529" t="inlineStr">
        <is>
          <t>Yes</t>
        </is>
      </c>
      <c r="O2529" t="inlineStr">
        <is>
          <t>Yes</t>
        </is>
      </c>
      <c r="P2529" t="inlineStr">
        <is>
          <t>Sindhusha</t>
        </is>
      </c>
      <c r="Q2529" t="inlineStr">
        <is>
          <t>Bad</t>
        </is>
      </c>
    </row>
    <row r="2530">
      <c r="A2530" t="inlineStr">
        <is>
          <t>harish</t>
        </is>
      </c>
      <c r="B2530" t="inlineStr">
        <is>
          <t>Harish</t>
        </is>
      </c>
      <c r="C2530" t="inlineStr">
        <is>
          <t>harish@osmosys.co</t>
        </is>
      </c>
      <c r="D2530" t="inlineStr">
        <is>
          <t>incident-reporter</t>
        </is>
      </c>
      <c r="E2530">
        <f>HYPERLINK("http://gitlab.osmosys.co/incident-reporter/incident-reporter-api", "OQSHA-API")</f>
        <v/>
      </c>
      <c r="F2530">
        <f>HYPERLINK("http://gitlab.osmosys.co/incident-reporter/incident-reporter-api/-/merge_requests/4400", "feat: add api to create kpi master")</f>
        <v/>
      </c>
      <c r="G2530" t="inlineStr">
        <is>
          <t>feat/add-kpi-apis</t>
        </is>
      </c>
      <c r="H2530" t="inlineStr">
        <is>
          <t>sprint-19</t>
        </is>
      </c>
      <c r="I2530" t="inlineStr">
        <is>
          <t>merged</t>
        </is>
      </c>
      <c r="J2530" t="inlineStr">
        <is>
          <t>7df1c8ac1f6694dfec10d7587115ee56e0cef0d2</t>
        </is>
      </c>
      <c r="K2530">
        <f>HYPERLINK("http://gitlab.osmosys.co/incident-reporter/incident-reporter-api/-/merge_requests/4400#note_244302", "I didn't understand what the use case of this - this is for Payload UI will be sending
Do we expect MasterKpis from UI ?")</f>
        <v/>
      </c>
      <c r="L2530" t="inlineStr">
        <is>
          <t>2025-07-30 15:25:59.210 IST</t>
        </is>
      </c>
      <c r="M2530" t="inlineStr">
        <is>
          <t>Harish</t>
        </is>
      </c>
      <c r="N2530" t="inlineStr">
        <is>
          <t>No</t>
        </is>
      </c>
      <c r="O2530" t="inlineStr">
        <is>
          <t>Yes</t>
        </is>
      </c>
      <c r="P2530" t="inlineStr">
        <is>
          <t>Sindhusha</t>
        </is>
      </c>
      <c r="Q2530" t="inlineStr">
        <is>
          <t>Bad</t>
        </is>
      </c>
    </row>
    <row r="2531">
      <c r="A2531" t="inlineStr">
        <is>
          <t>harish</t>
        </is>
      </c>
      <c r="B2531" t="inlineStr">
        <is>
          <t>Harish</t>
        </is>
      </c>
      <c r="C2531" t="inlineStr">
        <is>
          <t>harish@osmosys.co</t>
        </is>
      </c>
      <c r="D2531" t="inlineStr">
        <is>
          <t>incident-reporter</t>
        </is>
      </c>
      <c r="E2531">
        <f>HYPERLINK("http://gitlab.osmosys.co/incident-reporter/incident-reporter-api", "OQSHA-API")</f>
        <v/>
      </c>
      <c r="F2531">
        <f>HYPERLINK("http://gitlab.osmosys.co/incident-reporter/incident-reporter-api/-/merge_requests/4400", "feat: add api to create kpi master")</f>
        <v/>
      </c>
      <c r="G2531" t="inlineStr">
        <is>
          <t>feat/add-kpi-apis</t>
        </is>
      </c>
      <c r="H2531" t="inlineStr">
        <is>
          <t>sprint-19</t>
        </is>
      </c>
      <c r="I2531" t="inlineStr">
        <is>
          <t>merged</t>
        </is>
      </c>
      <c r="J2531" t="inlineStr">
        <is>
          <t>7df1c8ac1f6694dfec10d7587115ee56e0cef0d2</t>
        </is>
      </c>
      <c r="K2531">
        <f>HYPERLINK("http://gitlab.osmosys.co/incident-reporter/incident-reporter-api/-/merge_requests/4400#note_244312", "Yes, but it is giving us this list is just numbers, it also has masterlookupid, so update it.")</f>
        <v/>
      </c>
      <c r="L2531" t="inlineStr">
        <is>
          <t>2025-07-30 15:31:01.351 IST</t>
        </is>
      </c>
      <c r="M2531" t="inlineStr">
        <is>
          <t>Sindhusha</t>
        </is>
      </c>
      <c r="N2531" t="inlineStr">
        <is>
          <t>Yes</t>
        </is>
      </c>
      <c r="O2531" t="inlineStr">
        <is>
          <t>Yes</t>
        </is>
      </c>
      <c r="P2531" t="inlineStr">
        <is>
          <t>Sindhusha</t>
        </is>
      </c>
      <c r="Q2531" t="inlineStr">
        <is>
          <t>Bad</t>
        </is>
      </c>
    </row>
    <row r="2532">
      <c r="A2532" t="inlineStr">
        <is>
          <t>harish</t>
        </is>
      </c>
      <c r="B2532" t="inlineStr">
        <is>
          <t>Harish</t>
        </is>
      </c>
      <c r="C2532" t="inlineStr">
        <is>
          <t>harish@osmosys.co</t>
        </is>
      </c>
      <c r="D2532" t="inlineStr">
        <is>
          <t>incident-reporter</t>
        </is>
      </c>
      <c r="E2532">
        <f>HYPERLINK("http://gitlab.osmosys.co/incident-reporter/incident-reporter-api", "OQSHA-API")</f>
        <v/>
      </c>
      <c r="F2532">
        <f>HYPERLINK("http://gitlab.osmosys.co/incident-reporter/incident-reporter-api/-/merge_requests/4400", "feat: add api to create kpi master")</f>
        <v/>
      </c>
      <c r="G2532" t="inlineStr">
        <is>
          <t>feat/add-kpi-apis</t>
        </is>
      </c>
      <c r="H2532" t="inlineStr">
        <is>
          <t>sprint-19</t>
        </is>
      </c>
      <c r="I2532" t="inlineStr">
        <is>
          <t>merged</t>
        </is>
      </c>
      <c r="J2532" t="inlineStr">
        <is>
          <t>7df1c8ac1f6694dfec10d7587115ee56e0cef0d2</t>
        </is>
      </c>
      <c r="K2532">
        <f>HYPERLINK("http://gitlab.osmosys.co/incident-reporter/incident-reporter-api/-/merge_requests/4400#note_244329", "Updated it to - MasterKpiConfigDTO")</f>
        <v/>
      </c>
      <c r="L2532" t="inlineStr">
        <is>
          <t>2025-07-30 15:46:05.072 IST</t>
        </is>
      </c>
      <c r="M2532" t="inlineStr">
        <is>
          <t>Harish</t>
        </is>
      </c>
      <c r="N2532" t="inlineStr">
        <is>
          <t>No</t>
        </is>
      </c>
      <c r="O2532" t="inlineStr">
        <is>
          <t>Yes</t>
        </is>
      </c>
      <c r="P2532" t="inlineStr">
        <is>
          <t>Sindhusha</t>
        </is>
      </c>
      <c r="Q2532" t="inlineStr">
        <is>
          <t>Bad</t>
        </is>
      </c>
    </row>
    <row r="2533">
      <c r="A2533" t="inlineStr">
        <is>
          <t>harish</t>
        </is>
      </c>
      <c r="B2533" t="inlineStr">
        <is>
          <t>Harish</t>
        </is>
      </c>
      <c r="C2533" t="inlineStr">
        <is>
          <t>harish@osmosys.co</t>
        </is>
      </c>
      <c r="D2533" t="inlineStr">
        <is>
          <t>incident-reporter</t>
        </is>
      </c>
      <c r="E2533">
        <f>HYPERLINK("http://gitlab.osmosys.co/incident-reporter/incident-reporter-api", "OQSHA-API")</f>
        <v/>
      </c>
      <c r="F2533">
        <f>HYPERLINK("http://gitlab.osmosys.co/incident-reporter/incident-reporter-api/-/merge_requests/4397", "chore: merge sprint-18 to sprint-19 and update cd to target dev server")</f>
        <v/>
      </c>
      <c r="G2533" t="inlineStr">
        <is>
          <t>chore/sprint18-to-sprint-19</t>
        </is>
      </c>
      <c r="H2533" t="inlineStr">
        <is>
          <t>sprint-19</t>
        </is>
      </c>
      <c r="I2533" t="inlineStr">
        <is>
          <t>merged</t>
        </is>
      </c>
      <c r="J2533" t="inlineStr"/>
      <c r="K2533" t="inlineStr"/>
      <c r="L2533" t="inlineStr"/>
      <c r="M2533" t="inlineStr"/>
      <c r="N2533" t="inlineStr"/>
      <c r="O2533" t="inlineStr"/>
      <c r="P2533" t="inlineStr"/>
      <c r="Q2533" t="inlineStr"/>
    </row>
    <row r="2534">
      <c r="A2534" t="inlineStr">
        <is>
          <t>harish</t>
        </is>
      </c>
      <c r="B2534" t="inlineStr">
        <is>
          <t>Harish</t>
        </is>
      </c>
      <c r="C2534" t="inlineStr">
        <is>
          <t>harish@osmosys.co</t>
        </is>
      </c>
      <c r="D2534" t="inlineStr">
        <is>
          <t>incident-reporter</t>
        </is>
      </c>
      <c r="E2534">
        <f>HYPERLINK("http://gitlab.osmosys.co/incident-reporter/incident-reporter-api", "OQSHA-API")</f>
        <v/>
      </c>
      <c r="F2534">
        <f>HYPERLINK("http://gitlab.osmosys.co/incident-reporter/incident-reporter-api/-/merge_requests/4396", "fix: update the button payload length")</f>
        <v/>
      </c>
      <c r="G2534" t="inlineStr">
        <is>
          <t>fix/user-consent</t>
        </is>
      </c>
      <c r="H2534" t="inlineStr">
        <is>
          <t>sprint-18</t>
        </is>
      </c>
      <c r="I2534" t="inlineStr">
        <is>
          <t>merged</t>
        </is>
      </c>
      <c r="J2534" t="inlineStr"/>
      <c r="K2534" t="inlineStr"/>
      <c r="L2534" t="inlineStr"/>
      <c r="M2534" t="inlineStr"/>
      <c r="N2534" t="inlineStr"/>
      <c r="O2534" t="inlineStr"/>
      <c r="P2534" t="inlineStr"/>
      <c r="Q2534" t="inlineStr"/>
    </row>
    <row r="2535">
      <c r="A2535" t="inlineStr">
        <is>
          <t>harish</t>
        </is>
      </c>
      <c r="B2535" t="inlineStr">
        <is>
          <t>Harish</t>
        </is>
      </c>
      <c r="C2535" t="inlineStr">
        <is>
          <t>harish@osmosys.co</t>
        </is>
      </c>
      <c r="D2535" t="inlineStr">
        <is>
          <t>incident-reporter</t>
        </is>
      </c>
      <c r="E2535">
        <f>HYPERLINK("http://gitlab.osmosys.co/incident-reporter/incident-reporter-api", "OQSHA-API")</f>
        <v/>
      </c>
      <c r="F2535">
        <f>HYPERLINK("http://gitlab.osmosys.co/incident-reporter/incident-reporter-api/-/merge_requests/4393", "feat: add changes to have org level user preferences")</f>
        <v/>
      </c>
      <c r="G2535" t="inlineStr">
        <is>
          <t>feat/user-preferences-org</t>
        </is>
      </c>
      <c r="H2535" t="inlineStr">
        <is>
          <t>sprint-18</t>
        </is>
      </c>
      <c r="I2535" t="inlineStr">
        <is>
          <t>merged</t>
        </is>
      </c>
      <c r="J2535" t="inlineStr"/>
      <c r="K2535" t="inlineStr"/>
      <c r="L2535" t="inlineStr"/>
      <c r="M2535" t="inlineStr"/>
      <c r="N2535" t="inlineStr"/>
      <c r="O2535" t="inlineStr"/>
      <c r="P2535" t="inlineStr"/>
      <c r="Q2535" t="inlineStr"/>
    </row>
    <row r="2536">
      <c r="A2536" t="inlineStr">
        <is>
          <t>harish</t>
        </is>
      </c>
      <c r="B2536" t="inlineStr">
        <is>
          <t>Harish</t>
        </is>
      </c>
      <c r="C2536" t="inlineStr">
        <is>
          <t>harish@osmosys.co</t>
        </is>
      </c>
      <c r="D2536" t="inlineStr">
        <is>
          <t>incident-reporter</t>
        </is>
      </c>
      <c r="E2536">
        <f>HYPERLINK("http://gitlab.osmosys.co/incident-reporter/incident-reporter-api", "OQSHA-API")</f>
        <v/>
      </c>
      <c r="F2536">
        <f>HYPERLINK("http://gitlab.osmosys.co/incident-reporter/incident-reporter-api/-/merge_requests/4385", "feat: add fluent migration for the kpi master table")</f>
        <v/>
      </c>
      <c r="G2536" t="inlineStr">
        <is>
          <t>feat/kpi-master-table</t>
        </is>
      </c>
      <c r="H2536" t="inlineStr">
        <is>
          <t>sprint-19</t>
        </is>
      </c>
      <c r="I2536" t="inlineStr">
        <is>
          <t>merged</t>
        </is>
      </c>
      <c r="J2536" t="inlineStr">
        <is>
          <t>136cc04aea24987fc6f4dc2e1d86b182e4eb3f5d</t>
        </is>
      </c>
      <c r="K2536">
        <f>HYPERLINK("http://gitlab.osmosys.co/incident-reporter/incident-reporter-api/-/merge_requests/4385#note_244164", "We have might need indexes on all the possible sort columns we have.")</f>
        <v/>
      </c>
      <c r="L2536" t="inlineStr">
        <is>
          <t>2025-07-30 13:12:28.760 IST</t>
        </is>
      </c>
      <c r="M2536" t="inlineStr">
        <is>
          <t>Sindhusha</t>
        </is>
      </c>
      <c r="N2536" t="inlineStr">
        <is>
          <t>Yes</t>
        </is>
      </c>
      <c r="O2536" t="inlineStr">
        <is>
          <t>Yes</t>
        </is>
      </c>
      <c r="P2536" t="inlineStr">
        <is>
          <t>Sindhusha</t>
        </is>
      </c>
      <c r="Q2536" t="inlineStr">
        <is>
          <t>Bad</t>
        </is>
      </c>
    </row>
    <row r="2537">
      <c r="A2537" t="inlineStr">
        <is>
          <t>harish</t>
        </is>
      </c>
      <c r="B2537" t="inlineStr">
        <is>
          <t>Harish</t>
        </is>
      </c>
      <c r="C2537" t="inlineStr">
        <is>
          <t>harish@osmosys.co</t>
        </is>
      </c>
      <c r="D2537" t="inlineStr">
        <is>
          <t>incident-reporter</t>
        </is>
      </c>
      <c r="E2537">
        <f>HYPERLINK("http://gitlab.osmosys.co/incident-reporter/incident-reporter-api", "OQSHA-API")</f>
        <v/>
      </c>
      <c r="F2537">
        <f>HYPERLINK("http://gitlab.osmosys.co/incident-reporter/incident-reporter-api/-/merge_requests/4385", "feat: add fluent migration for the kpi master table")</f>
        <v/>
      </c>
      <c r="G2537" t="inlineStr">
        <is>
          <t>feat/kpi-master-table</t>
        </is>
      </c>
      <c r="H2537" t="inlineStr">
        <is>
          <t>sprint-19</t>
        </is>
      </c>
      <c r="I2537" t="inlineStr">
        <is>
          <t>merged</t>
        </is>
      </c>
      <c r="J2537" t="inlineStr">
        <is>
          <t>136cc04aea24987fc6f4dc2e1d86b182e4eb3f5d</t>
        </is>
      </c>
      <c r="K2537">
        <f>HYPERLINK("http://gitlab.osmosys.co/incident-reporter/incident-reporter-api/-/merge_requests/4385#note_244210", "Added")</f>
        <v/>
      </c>
      <c r="L2537" t="inlineStr">
        <is>
          <t>2025-07-30 14:00:20.410 IST</t>
        </is>
      </c>
      <c r="M2537" t="inlineStr">
        <is>
          <t>Harish</t>
        </is>
      </c>
      <c r="N2537" t="inlineStr">
        <is>
          <t>No</t>
        </is>
      </c>
      <c r="O2537" t="inlineStr">
        <is>
          <t>Yes</t>
        </is>
      </c>
      <c r="P2537" t="inlineStr">
        <is>
          <t>Sindhusha</t>
        </is>
      </c>
      <c r="Q2537" t="inlineStr">
        <is>
          <t>Bad</t>
        </is>
      </c>
    </row>
    <row r="2538">
      <c r="A2538" t="inlineStr">
        <is>
          <t>harish</t>
        </is>
      </c>
      <c r="B2538" t="inlineStr">
        <is>
          <t>Harish</t>
        </is>
      </c>
      <c r="C2538" t="inlineStr">
        <is>
          <t>harish@osmosys.co</t>
        </is>
      </c>
      <c r="D2538" t="inlineStr">
        <is>
          <t>incident-reporter</t>
        </is>
      </c>
      <c r="E2538">
        <f>HYPERLINK("http://gitlab.osmosys.co/incident-reporter/incident-reporter-api", "OQSHA-API")</f>
        <v/>
      </c>
      <c r="F2538">
        <f>HYPERLINK("http://gitlab.osmosys.co/incident-reporter/incident-reporter-api/-/merge_requests/4385", "feat: add fluent migration for the kpi master table")</f>
        <v/>
      </c>
      <c r="G2538" t="inlineStr">
        <is>
          <t>feat/kpi-master-table</t>
        </is>
      </c>
      <c r="H2538" t="inlineStr">
        <is>
          <t>sprint-19</t>
        </is>
      </c>
      <c r="I2538" t="inlineStr">
        <is>
          <t>merged</t>
        </is>
      </c>
      <c r="J2538" t="inlineStr">
        <is>
          <t>8f61f9e0f6c79301d49febb71777453d46a2548a</t>
        </is>
      </c>
      <c r="K2538">
        <f>HYPERLINK("http://gitlab.osmosys.co/incident-reporter/incident-reporter-api/-/merge_requests/4385#note_244167", "We need both expected numbers &amp; achieved numbers columns - Not nullable fields.")</f>
        <v/>
      </c>
      <c r="L2538" t="inlineStr">
        <is>
          <t>2025-07-30 13:16:01.459 IST</t>
        </is>
      </c>
      <c r="M2538" t="inlineStr">
        <is>
          <t>Sindhusha</t>
        </is>
      </c>
      <c r="N2538" t="inlineStr">
        <is>
          <t>Yes</t>
        </is>
      </c>
      <c r="O2538" t="inlineStr">
        <is>
          <t>Yes</t>
        </is>
      </c>
      <c r="P2538" t="inlineStr">
        <is>
          <t>Sindhusha</t>
        </is>
      </c>
      <c r="Q2538" t="inlineStr">
        <is>
          <t>Bad</t>
        </is>
      </c>
    </row>
    <row r="2539">
      <c r="A2539" t="inlineStr">
        <is>
          <t>harish</t>
        </is>
      </c>
      <c r="B2539" t="inlineStr">
        <is>
          <t>Harish</t>
        </is>
      </c>
      <c r="C2539" t="inlineStr">
        <is>
          <t>harish@osmosys.co</t>
        </is>
      </c>
      <c r="D2539" t="inlineStr">
        <is>
          <t>incident-reporter</t>
        </is>
      </c>
      <c r="E2539">
        <f>HYPERLINK("http://gitlab.osmosys.co/incident-reporter/incident-reporter-api", "OQSHA-API")</f>
        <v/>
      </c>
      <c r="F2539">
        <f>HYPERLINK("http://gitlab.osmosys.co/incident-reporter/incident-reporter-api/-/merge_requests/4385", "feat: add fluent migration for the kpi master table")</f>
        <v/>
      </c>
      <c r="G2539" t="inlineStr">
        <is>
          <t>feat/kpi-master-table</t>
        </is>
      </c>
      <c r="H2539" t="inlineStr">
        <is>
          <t>sprint-19</t>
        </is>
      </c>
      <c r="I2539" t="inlineStr">
        <is>
          <t>merged</t>
        </is>
      </c>
      <c r="J2539" t="inlineStr">
        <is>
          <t>8f61f9e0f6c79301d49febb71777453d46a2548a</t>
        </is>
      </c>
      <c r="K2539">
        <f>HYPERLINK("http://gitlab.osmosys.co/incident-reporter/incident-reporter-api/-/merge_requests/4385#note_244211", "didn't update the expected no- added a new column achieved number instead and kept that nullable")</f>
        <v/>
      </c>
      <c r="L2539" t="inlineStr">
        <is>
          <t>2025-07-30 14:05:13.267 IST</t>
        </is>
      </c>
      <c r="M2539" t="inlineStr">
        <is>
          <t>Harish</t>
        </is>
      </c>
      <c r="N2539" t="inlineStr">
        <is>
          <t>No</t>
        </is>
      </c>
      <c r="O2539" t="inlineStr">
        <is>
          <t>Yes</t>
        </is>
      </c>
      <c r="P2539" t="inlineStr">
        <is>
          <t>Sindhusha</t>
        </is>
      </c>
      <c r="Q2539" t="inlineStr">
        <is>
          <t>Bad</t>
        </is>
      </c>
    </row>
    <row r="2540">
      <c r="A2540" t="inlineStr">
        <is>
          <t>harish</t>
        </is>
      </c>
      <c r="B2540" t="inlineStr">
        <is>
          <t>Harish</t>
        </is>
      </c>
      <c r="C2540" t="inlineStr">
        <is>
          <t>harish@osmosys.co</t>
        </is>
      </c>
      <c r="D2540" t="inlineStr">
        <is>
          <t>incident-reporter</t>
        </is>
      </c>
      <c r="E2540">
        <f>HYPERLINK("http://gitlab.osmosys.co/incident-reporter/incident-reporter-api", "OQSHA-API")</f>
        <v/>
      </c>
      <c r="F2540">
        <f>HYPERLINK("http://gitlab.osmosys.co/incident-reporter/incident-reporter-api/-/merge_requests/4385", "feat: add fluent migration for the kpi master table")</f>
        <v/>
      </c>
      <c r="G2540" t="inlineStr">
        <is>
          <t>feat/kpi-master-table</t>
        </is>
      </c>
      <c r="H2540" t="inlineStr">
        <is>
          <t>sprint-19</t>
        </is>
      </c>
      <c r="I2540" t="inlineStr">
        <is>
          <t>merged</t>
        </is>
      </c>
      <c r="J2540" t="inlineStr">
        <is>
          <t>aac94e1a99a4148893edcc7304a8d1b417413689</t>
        </is>
      </c>
      <c r="K2540">
        <f>HYPERLINK("http://gitlab.osmosys.co/incident-reporter/incident-reporter-api/-/merge_requests/4385#note_244168", "This is only valid, you are not renaming expected to achieved")</f>
        <v/>
      </c>
      <c r="L2540" t="inlineStr">
        <is>
          <t>2025-07-30 13:16:45.007 IST</t>
        </is>
      </c>
      <c r="M2540" t="inlineStr">
        <is>
          <t>Sindhusha</t>
        </is>
      </c>
      <c r="N2540" t="inlineStr">
        <is>
          <t>Yes</t>
        </is>
      </c>
      <c r="O2540" t="inlineStr">
        <is>
          <t>Yes</t>
        </is>
      </c>
      <c r="P2540" t="inlineStr">
        <is>
          <t>Sindhusha</t>
        </is>
      </c>
      <c r="Q2540" t="inlineStr">
        <is>
          <t>Neutral</t>
        </is>
      </c>
    </row>
    <row r="2541">
      <c r="A2541" t="inlineStr">
        <is>
          <t>harish</t>
        </is>
      </c>
      <c r="B2541" t="inlineStr">
        <is>
          <t>Harish</t>
        </is>
      </c>
      <c r="C2541" t="inlineStr">
        <is>
          <t>harish@osmosys.co</t>
        </is>
      </c>
      <c r="D2541" t="inlineStr">
        <is>
          <t>incident-reporter</t>
        </is>
      </c>
      <c r="E2541">
        <f>HYPERLINK("http://gitlab.osmosys.co/incident-reporter/incident-reporter-api", "OQSHA-API")</f>
        <v/>
      </c>
      <c r="F2541">
        <f>HYPERLINK("http://gitlab.osmosys.co/incident-reporter/incident-reporter-api/-/merge_requests/4385", "feat: add fluent migration for the kpi master table")</f>
        <v/>
      </c>
      <c r="G2541" t="inlineStr">
        <is>
          <t>feat/kpi-master-table</t>
        </is>
      </c>
      <c r="H2541" t="inlineStr">
        <is>
          <t>sprint-19</t>
        </is>
      </c>
      <c r="I2541" t="inlineStr">
        <is>
          <t>merged</t>
        </is>
      </c>
      <c r="J2541" t="inlineStr">
        <is>
          <t>aac94e1a99a4148893edcc7304a8d1b417413689</t>
        </is>
      </c>
      <c r="K2541">
        <f>HYPERLINK("http://gitlab.osmosys.co/incident-reporter/incident-reporter-api/-/merge_requests/4385#note_244212", "added a new column for achieved number")</f>
        <v/>
      </c>
      <c r="L2541" t="inlineStr">
        <is>
          <t>2025-07-30 14:05:55.198 IST</t>
        </is>
      </c>
      <c r="M2541" t="inlineStr">
        <is>
          <t>Harish</t>
        </is>
      </c>
      <c r="N2541" t="inlineStr">
        <is>
          <t>No</t>
        </is>
      </c>
      <c r="O2541" t="inlineStr">
        <is>
          <t>Yes</t>
        </is>
      </c>
      <c r="P2541" t="inlineStr">
        <is>
          <t>Sindhusha</t>
        </is>
      </c>
      <c r="Q2541" t="inlineStr">
        <is>
          <t>Neutral</t>
        </is>
      </c>
    </row>
    <row r="2542">
      <c r="A2542" t="inlineStr">
        <is>
          <t>harish</t>
        </is>
      </c>
      <c r="B2542" t="inlineStr">
        <is>
          <t>Harish</t>
        </is>
      </c>
      <c r="C2542" t="inlineStr">
        <is>
          <t>harish@osmosys.co</t>
        </is>
      </c>
      <c r="D2542" t="inlineStr">
        <is>
          <t>incident-reporter</t>
        </is>
      </c>
      <c r="E2542">
        <f>HYPERLINK("http://gitlab.osmosys.co/incident-reporter/incident-reporter-api", "OQSHA-API")</f>
        <v/>
      </c>
      <c r="F2542">
        <f>HYPERLINK("http://gitlab.osmosys.co/incident-reporter/incident-reporter-api/-/merge_requests/4385", "feat: add fluent migration for the kpi master table")</f>
        <v/>
      </c>
      <c r="G2542" t="inlineStr">
        <is>
          <t>feat/kpi-master-table</t>
        </is>
      </c>
      <c r="H2542" t="inlineStr">
        <is>
          <t>sprint-19</t>
        </is>
      </c>
      <c r="I2542" t="inlineStr">
        <is>
          <t>merged</t>
        </is>
      </c>
      <c r="J2542" t="inlineStr">
        <is>
          <t>0f67d27ce2dc6470c8ef9798e61ce3b341e26ae0</t>
        </is>
      </c>
      <c r="K2542">
        <f>HYPERLINK("http://gitlab.osmosys.co/incident-reporter/incident-reporter-api/-/merge_requests/4385#note_244180", "This should be user_kpi_master_config_id, FK to user_kpi_master_config table. 
We still need user_kpi_master_lookup_id, expected_number though these are redundant columns that we can get from user_kpi_master_config table itself.")</f>
        <v/>
      </c>
      <c r="L2542" t="inlineStr">
        <is>
          <t>2025-07-30 13:21:58.465 IST</t>
        </is>
      </c>
      <c r="M2542" t="inlineStr">
        <is>
          <t>Sindhusha</t>
        </is>
      </c>
      <c r="N2542" t="inlineStr">
        <is>
          <t>Yes</t>
        </is>
      </c>
      <c r="O2542" t="inlineStr">
        <is>
          <t>Yes</t>
        </is>
      </c>
      <c r="P2542" t="inlineStr">
        <is>
          <t>Sindhusha</t>
        </is>
      </c>
      <c r="Q2542" t="inlineStr">
        <is>
          <t>Bad</t>
        </is>
      </c>
    </row>
    <row r="2543">
      <c r="A2543" t="inlineStr">
        <is>
          <t>harish</t>
        </is>
      </c>
      <c r="B2543" t="inlineStr">
        <is>
          <t>Harish</t>
        </is>
      </c>
      <c r="C2543" t="inlineStr">
        <is>
          <t>harish@osmosys.co</t>
        </is>
      </c>
      <c r="D2543" t="inlineStr">
        <is>
          <t>incident-reporter</t>
        </is>
      </c>
      <c r="E2543">
        <f>HYPERLINK("http://gitlab.osmosys.co/incident-reporter/incident-reporter-api", "OQSHA-API")</f>
        <v/>
      </c>
      <c r="F2543">
        <f>HYPERLINK("http://gitlab.osmosys.co/incident-reporter/incident-reporter-api/-/merge_requests/4385", "feat: add fluent migration for the kpi master table")</f>
        <v/>
      </c>
      <c r="G2543" t="inlineStr">
        <is>
          <t>feat/kpi-master-table</t>
        </is>
      </c>
      <c r="H2543" t="inlineStr">
        <is>
          <t>sprint-19</t>
        </is>
      </c>
      <c r="I2543" t="inlineStr">
        <is>
          <t>merged</t>
        </is>
      </c>
      <c r="J2543" t="inlineStr">
        <is>
          <t>0f67d27ce2dc6470c8ef9798e61ce3b341e26ae0</t>
        </is>
      </c>
      <c r="K2543">
        <f>HYPERLINK("http://gitlab.osmosys.co/incident-reporter/incident-reporter-api/-/merge_requests/4385#note_244209", "updated")</f>
        <v/>
      </c>
      <c r="L2543" t="inlineStr">
        <is>
          <t>2025-07-30 14:00:12.758 IST</t>
        </is>
      </c>
      <c r="M2543" t="inlineStr">
        <is>
          <t>Harish</t>
        </is>
      </c>
      <c r="N2543" t="inlineStr">
        <is>
          <t>No</t>
        </is>
      </c>
      <c r="O2543" t="inlineStr">
        <is>
          <t>Yes</t>
        </is>
      </c>
      <c r="P2543" t="inlineStr">
        <is>
          <t>Sindhusha</t>
        </is>
      </c>
      <c r="Q2543" t="inlineStr">
        <is>
          <t>Bad</t>
        </is>
      </c>
    </row>
    <row r="2544">
      <c r="A2544" t="inlineStr">
        <is>
          <t>harish</t>
        </is>
      </c>
      <c r="B2544" t="inlineStr">
        <is>
          <t>Harish</t>
        </is>
      </c>
      <c r="C2544" t="inlineStr">
        <is>
          <t>harish@osmosys.co</t>
        </is>
      </c>
      <c r="D2544" t="inlineStr">
        <is>
          <t>incident-reporter</t>
        </is>
      </c>
      <c r="E2544">
        <f>HYPERLINK("http://gitlab.osmosys.co/incident-reporter/incident-reporter-api", "OQSHA-API")</f>
        <v/>
      </c>
      <c r="F2544">
        <f>HYPERLINK("http://gitlab.osmosys.co/incident-reporter/incident-reporter-api/-/merge_requests/4368", "feat: add logging and check to verify user consent record exist")</f>
        <v/>
      </c>
      <c r="G2544" t="inlineStr">
        <is>
          <t>chore/add-logging-whatsapp</t>
        </is>
      </c>
      <c r="H2544" t="inlineStr">
        <is>
          <t>sprint-18</t>
        </is>
      </c>
      <c r="I2544" t="inlineStr">
        <is>
          <t>merged</t>
        </is>
      </c>
      <c r="J2544" t="inlineStr"/>
      <c r="K2544" t="inlineStr"/>
      <c r="L2544" t="inlineStr"/>
      <c r="M2544" t="inlineStr"/>
      <c r="N2544" t="inlineStr"/>
      <c r="O2544" t="inlineStr"/>
      <c r="P2544" t="inlineStr"/>
      <c r="Q2544" t="inlineStr"/>
    </row>
    <row r="2545">
      <c r="A2545" t="inlineStr">
        <is>
          <t>harish</t>
        </is>
      </c>
      <c r="B2545" t="inlineStr">
        <is>
          <t>Harish</t>
        </is>
      </c>
      <c r="C2545" t="inlineStr">
        <is>
          <t>harish@osmosys.co</t>
        </is>
      </c>
      <c r="D2545" t="inlineStr">
        <is>
          <t>incident-reporter</t>
        </is>
      </c>
      <c r="E2545">
        <f>HYPERLINK("http://gitlab.osmosys.co/incident-reporter/incident-reporter-api", "OQSHA-API")</f>
        <v/>
      </c>
      <c r="F2545">
        <f>HYPERLINK("http://gitlab.osmosys.co/incident-reporter/incident-reporter-api/-/merge_requests/4366", "fix: add validation to check existing user email")</f>
        <v/>
      </c>
      <c r="G2545" t="inlineStr">
        <is>
          <t>fix/user-add</t>
        </is>
      </c>
      <c r="H2545" t="inlineStr">
        <is>
          <t>sprint-18</t>
        </is>
      </c>
      <c r="I2545" t="inlineStr">
        <is>
          <t>closed</t>
        </is>
      </c>
      <c r="J2545" t="inlineStr"/>
      <c r="K2545" t="inlineStr"/>
      <c r="L2545" t="inlineStr"/>
      <c r="M2545" t="inlineStr"/>
      <c r="N2545" t="inlineStr"/>
      <c r="O2545" t="inlineStr"/>
      <c r="P2545" t="inlineStr"/>
      <c r="Q2545" t="inlineStr"/>
    </row>
    <row r="2546">
      <c r="A2546" t="inlineStr">
        <is>
          <t>harish</t>
        </is>
      </c>
      <c r="B2546" t="inlineStr">
        <is>
          <t>Harish</t>
        </is>
      </c>
      <c r="C2546" t="inlineStr">
        <is>
          <t>harish@osmosys.co</t>
        </is>
      </c>
      <c r="D2546" t="inlineStr">
        <is>
          <t>incident-reporter</t>
        </is>
      </c>
      <c r="E2546">
        <f>HYPERLINK("http://gitlab.osmosys.co/incident-reporter/incident-reporter-api", "OQSHA-API")</f>
        <v/>
      </c>
      <c r="F2546">
        <f>HYPERLINK("http://gitlab.osmosys.co/incident-reporter/incident-reporter-api/-/merge_requests/4359", "fix: resolve acm module missing for other modules tasks")</f>
        <v/>
      </c>
      <c r="G2546" t="inlineStr">
        <is>
          <t>fix/task-acm-module</t>
        </is>
      </c>
      <c r="H2546" t="inlineStr">
        <is>
          <t>sprint-18</t>
        </is>
      </c>
      <c r="I2546" t="inlineStr">
        <is>
          <t>merged</t>
        </is>
      </c>
      <c r="J2546" t="inlineStr"/>
      <c r="K2546" t="inlineStr"/>
      <c r="L2546" t="inlineStr"/>
      <c r="M2546" t="inlineStr"/>
      <c r="N2546" t="inlineStr"/>
      <c r="O2546" t="inlineStr"/>
      <c r="P2546" t="inlineStr"/>
      <c r="Q2546" t="inlineStr"/>
    </row>
    <row r="2547">
      <c r="A2547" t="inlineStr">
        <is>
          <t>harish</t>
        </is>
      </c>
      <c r="B2547" t="inlineStr">
        <is>
          <t>Harish</t>
        </is>
      </c>
      <c r="C2547" t="inlineStr">
        <is>
          <t>harish@osmosys.co</t>
        </is>
      </c>
      <c r="D2547" t="inlineStr">
        <is>
          <t>incident-reporter</t>
        </is>
      </c>
      <c r="E2547">
        <f>HYPERLINK("http://gitlab.osmosys.co/incident-reporter/incident-reporter-api", "OQSHA-API")</f>
        <v/>
      </c>
      <c r="F2547">
        <f>HYPERLINK("http://gitlab.osmosys.co/incident-reporter/incident-reporter-api/-/merge_requests/4358", "fix: update pssr repo function")</f>
        <v/>
      </c>
      <c r="G2547" t="inlineStr">
        <is>
          <t>fix/pssr-repo</t>
        </is>
      </c>
      <c r="H2547" t="inlineStr">
        <is>
          <t>sprint-18</t>
        </is>
      </c>
      <c r="I2547" t="inlineStr">
        <is>
          <t>merged</t>
        </is>
      </c>
      <c r="J2547" t="inlineStr"/>
      <c r="K2547" t="inlineStr"/>
      <c r="L2547" t="inlineStr"/>
      <c r="M2547" t="inlineStr"/>
      <c r="N2547" t="inlineStr"/>
      <c r="O2547" t="inlineStr"/>
      <c r="P2547" t="inlineStr"/>
      <c r="Q2547" t="inlineStr"/>
    </row>
    <row r="2548">
      <c r="A2548" t="inlineStr">
        <is>
          <t>harish</t>
        </is>
      </c>
      <c r="B2548" t="inlineStr">
        <is>
          <t>Harish</t>
        </is>
      </c>
      <c r="C2548" t="inlineStr">
        <is>
          <t>harish@osmosys.co</t>
        </is>
      </c>
      <c r="D2548" t="inlineStr">
        <is>
          <t>incident-reporter</t>
        </is>
      </c>
      <c r="E2548">
        <f>HYPERLINK("http://gitlab.osmosys.co/incident-reporter/incident-reporter-api", "OQSHA-API")</f>
        <v/>
      </c>
      <c r="F2548">
        <f>HYPERLINK("http://gitlab.osmosys.co/incident-reporter/incident-reporter-api/-/merge_requests/4356", "fix: update pssr history repo function")</f>
        <v/>
      </c>
      <c r="G2548" t="inlineStr">
        <is>
          <t>fix/pssr-history</t>
        </is>
      </c>
      <c r="H2548" t="inlineStr">
        <is>
          <t>sprint-18</t>
        </is>
      </c>
      <c r="I2548" t="inlineStr">
        <is>
          <t>merged</t>
        </is>
      </c>
      <c r="J2548" t="inlineStr"/>
      <c r="K2548" t="inlineStr"/>
      <c r="L2548" t="inlineStr"/>
      <c r="M2548" t="inlineStr"/>
      <c r="N2548" t="inlineStr"/>
      <c r="O2548" t="inlineStr"/>
      <c r="P2548" t="inlineStr"/>
      <c r="Q2548" t="inlineStr"/>
    </row>
    <row r="2549">
      <c r="A2549" t="inlineStr">
        <is>
          <t>harish</t>
        </is>
      </c>
      <c r="B2549" t="inlineStr">
        <is>
          <t>Harish</t>
        </is>
      </c>
      <c r="C2549" t="inlineStr">
        <is>
          <t>harish@osmosys.co</t>
        </is>
      </c>
      <c r="D2549" t="inlineStr">
        <is>
          <t>incident-reporter</t>
        </is>
      </c>
      <c r="E2549">
        <f>HYPERLINK("http://gitlab.osmosys.co/incident-reporter/incident-reporter-api", "OQSHA-API")</f>
        <v/>
      </c>
      <c r="F2549">
        <f>HYPERLINK("http://gitlab.osmosys.co/incident-reporter/incident-reporter-api/-/merge_requests/4354", "fix: update the column name for inspection export")</f>
        <v/>
      </c>
      <c r="G2549" t="inlineStr">
        <is>
          <t>fix/inspection-export</t>
        </is>
      </c>
      <c r="H2549" t="inlineStr">
        <is>
          <t>sprint-18</t>
        </is>
      </c>
      <c r="I2549" t="inlineStr">
        <is>
          <t>merged</t>
        </is>
      </c>
      <c r="J2549" t="inlineStr"/>
      <c r="K2549" t="inlineStr"/>
      <c r="L2549" t="inlineStr"/>
      <c r="M2549" t="inlineStr"/>
      <c r="N2549" t="inlineStr"/>
      <c r="O2549" t="inlineStr"/>
      <c r="P2549" t="inlineStr"/>
      <c r="Q2549" t="inlineStr"/>
    </row>
    <row r="2550">
      <c r="A2550" t="inlineStr">
        <is>
          <t>harish</t>
        </is>
      </c>
      <c r="B2550" t="inlineStr">
        <is>
          <t>Harish</t>
        </is>
      </c>
      <c r="C2550" t="inlineStr">
        <is>
          <t>harish@osmosys.co</t>
        </is>
      </c>
      <c r="D2550" t="inlineStr">
        <is>
          <t>incident-reporter</t>
        </is>
      </c>
      <c r="E2550">
        <f>HYPERLINK("http://gitlab.osmosys.co/incident-reporter/incident-reporter-api", "OQSHA-API")</f>
        <v/>
      </c>
      <c r="F2550">
        <f>HYPERLINK("http://gitlab.osmosys.co/incident-reporter/incident-reporter-api/-/merge_requests/4350", "fix: update repo function user")</f>
        <v/>
      </c>
      <c r="G2550" t="inlineStr">
        <is>
          <t>fix/user-fix</t>
        </is>
      </c>
      <c r="H2550" t="inlineStr">
        <is>
          <t>sprint-18</t>
        </is>
      </c>
      <c r="I2550" t="inlineStr">
        <is>
          <t>merged</t>
        </is>
      </c>
      <c r="J2550" t="inlineStr"/>
      <c r="K2550" t="inlineStr"/>
      <c r="L2550" t="inlineStr"/>
      <c r="M2550" t="inlineStr"/>
      <c r="N2550" t="inlineStr"/>
      <c r="O2550" t="inlineStr"/>
      <c r="P2550" t="inlineStr"/>
      <c r="Q2550" t="inlineStr"/>
    </row>
    <row r="2551">
      <c r="A2551" t="inlineStr">
        <is>
          <t>harish</t>
        </is>
      </c>
      <c r="B2551" t="inlineStr">
        <is>
          <t>Harish</t>
        </is>
      </c>
      <c r="C2551" t="inlineStr">
        <is>
          <t>harish@osmosys.co</t>
        </is>
      </c>
      <c r="D2551" t="inlineStr">
        <is>
          <t>incident-reporter</t>
        </is>
      </c>
      <c r="E2551">
        <f>HYPERLINK("http://gitlab.osmosys.co/incident-reporter/incident-reporter-api", "OQSHA-API")</f>
        <v/>
      </c>
      <c r="F2551">
        <f>HYPERLINK("http://gitlab.osmosys.co/incident-reporter/incident-reporter-api/-/merge_requests/4346", "ci: update target server to qa stg for cd")</f>
        <v/>
      </c>
      <c r="G2551" t="inlineStr">
        <is>
          <t>ci/update-target</t>
        </is>
      </c>
      <c r="H2551" t="inlineStr">
        <is>
          <t>sprint-18</t>
        </is>
      </c>
      <c r="I2551" t="inlineStr">
        <is>
          <t>merged</t>
        </is>
      </c>
      <c r="J2551" t="inlineStr"/>
      <c r="K2551" t="inlineStr"/>
      <c r="L2551" t="inlineStr"/>
      <c r="M2551" t="inlineStr"/>
      <c r="N2551" t="inlineStr"/>
      <c r="O2551" t="inlineStr"/>
      <c r="P2551" t="inlineStr"/>
      <c r="Q2551" t="inlineStr"/>
    </row>
    <row r="2552">
      <c r="A2552" t="inlineStr">
        <is>
          <t>harish</t>
        </is>
      </c>
      <c r="B2552" t="inlineStr">
        <is>
          <t>Harish</t>
        </is>
      </c>
      <c r="C2552" t="inlineStr">
        <is>
          <t>harish@osmosys.co</t>
        </is>
      </c>
      <c r="D2552" t="inlineStr">
        <is>
          <t>incident-reporter</t>
        </is>
      </c>
      <c r="E2552">
        <f>HYPERLINK("http://gitlab.osmosys.co/incident-reporter/incident-reporter-api", "OQSHA-API")</f>
        <v/>
      </c>
      <c r="F2552">
        <f>HYPERLINK("http://gitlab.osmosys.co/incident-reporter/incident-reporter-api/-/merge_requests/4344", "chore: merge sprint-17 changes to sprint 18")</f>
        <v/>
      </c>
      <c r="G2552" t="inlineStr">
        <is>
          <t>chore/sprint17-to-sprint18</t>
        </is>
      </c>
      <c r="H2552" t="inlineStr">
        <is>
          <t>sprint-18</t>
        </is>
      </c>
      <c r="I2552" t="inlineStr">
        <is>
          <t>merged</t>
        </is>
      </c>
      <c r="J2552" t="inlineStr"/>
      <c r="K2552" t="inlineStr"/>
      <c r="L2552" t="inlineStr"/>
      <c r="M2552" t="inlineStr"/>
      <c r="N2552" t="inlineStr"/>
      <c r="O2552" t="inlineStr"/>
      <c r="P2552" t="inlineStr"/>
      <c r="Q2552" t="inlineStr"/>
    </row>
    <row r="2553">
      <c r="A2553" t="inlineStr">
        <is>
          <t>harish</t>
        </is>
      </c>
      <c r="B2553" t="inlineStr">
        <is>
          <t>Harish</t>
        </is>
      </c>
      <c r="C2553" t="inlineStr">
        <is>
          <t>harish@osmosys.co</t>
        </is>
      </c>
      <c r="D2553" t="inlineStr">
        <is>
          <t>incident-reporter</t>
        </is>
      </c>
      <c r="E2553">
        <f>HYPERLINK("http://gitlab.osmosys.co/incident-reporter/incident-reporter-api", "OQSHA-API")</f>
        <v/>
      </c>
      <c r="F2553">
        <f>HYPERLINK("http://gitlab.osmosys.co/incident-reporter/incident-reporter-api/-/merge_requests/4343", "fix: remove org specific migration")</f>
        <v/>
      </c>
      <c r="G2553" t="inlineStr">
        <is>
          <t>fix/remove-org-migration</t>
        </is>
      </c>
      <c r="H2553" t="inlineStr">
        <is>
          <t>sprint-18</t>
        </is>
      </c>
      <c r="I2553" t="inlineStr">
        <is>
          <t>merged</t>
        </is>
      </c>
      <c r="J2553" t="inlineStr"/>
      <c r="K2553" t="inlineStr"/>
      <c r="L2553" t="inlineStr"/>
      <c r="M2553" t="inlineStr"/>
      <c r="N2553" t="inlineStr"/>
      <c r="O2553" t="inlineStr"/>
      <c r="P2553" t="inlineStr"/>
      <c r="Q2553" t="inlineStr"/>
    </row>
    <row r="2554">
      <c r="A2554" t="inlineStr">
        <is>
          <t>harish</t>
        </is>
      </c>
      <c r="B2554" t="inlineStr">
        <is>
          <t>Harish</t>
        </is>
      </c>
      <c r="C2554" t="inlineStr">
        <is>
          <t>harish@osmosys.co</t>
        </is>
      </c>
      <c r="D2554" t="inlineStr">
        <is>
          <t>incident-reporter</t>
        </is>
      </c>
      <c r="E2554">
        <f>HYPERLINK("http://gitlab.osmosys.co/incident-reporter/incident-reporter-api", "OQSHA-API")</f>
        <v/>
      </c>
      <c r="F2554">
        <f>HYPERLINK("http://gitlab.osmosys.co/incident-reporter/incident-reporter-api/-/merge_requests/4337", "fix: handle null check for task ids hira")</f>
        <v/>
      </c>
      <c r="G2554" t="inlineStr">
        <is>
          <t>fix/hira-null-check</t>
        </is>
      </c>
      <c r="H2554" t="inlineStr">
        <is>
          <t>sprint-17</t>
        </is>
      </c>
      <c r="I2554" t="inlineStr">
        <is>
          <t>merged</t>
        </is>
      </c>
      <c r="J2554" t="inlineStr"/>
      <c r="K2554" t="inlineStr"/>
      <c r="L2554" t="inlineStr"/>
      <c r="M2554" t="inlineStr"/>
      <c r="N2554" t="inlineStr"/>
      <c r="O2554" t="inlineStr"/>
      <c r="P2554" t="inlineStr"/>
      <c r="Q2554" t="inlineStr"/>
    </row>
    <row r="2555">
      <c r="A2555" t="inlineStr">
        <is>
          <t>harish</t>
        </is>
      </c>
      <c r="B2555" t="inlineStr">
        <is>
          <t>Harish</t>
        </is>
      </c>
      <c r="C2555" t="inlineStr">
        <is>
          <t>harish@osmosys.co</t>
        </is>
      </c>
      <c r="D2555" t="inlineStr">
        <is>
          <t>incident-reporter</t>
        </is>
      </c>
      <c r="E2555">
        <f>HYPERLINK("http://gitlab.osmosys.co/incident-reporter/incident-reporter-api", "OQSHA-API")</f>
        <v/>
      </c>
      <c r="F2555">
        <f>HYPERLINK("http://gitlab.osmosys.co/incident-reporter/incident-reporter-api/-/merge_requests/4327", "fix: remove user access attribute from user dashboard preferences api")</f>
        <v/>
      </c>
      <c r="G2555" t="inlineStr">
        <is>
          <t>fix/user-preferences</t>
        </is>
      </c>
      <c r="H2555" t="inlineStr">
        <is>
          <t>sprint-18</t>
        </is>
      </c>
      <c r="I2555" t="inlineStr">
        <is>
          <t>merged</t>
        </is>
      </c>
      <c r="J2555" t="inlineStr"/>
      <c r="K2555" t="inlineStr"/>
      <c r="L2555" t="inlineStr"/>
      <c r="M2555" t="inlineStr"/>
      <c r="N2555" t="inlineStr"/>
      <c r="O2555" t="inlineStr"/>
      <c r="P2555" t="inlineStr"/>
      <c r="Q2555" t="inlineStr"/>
    </row>
    <row r="2556">
      <c r="A2556" t="inlineStr">
        <is>
          <t>harish</t>
        </is>
      </c>
      <c r="B2556" t="inlineStr">
        <is>
          <t>Harish</t>
        </is>
      </c>
      <c r="C2556" t="inlineStr">
        <is>
          <t>harish@osmosys.co</t>
        </is>
      </c>
      <c r="D2556" t="inlineStr">
        <is>
          <t>incident-reporter</t>
        </is>
      </c>
      <c r="E2556">
        <f>HYPERLINK("http://gitlab.osmosys.co/incident-reporter/incident-reporter-api", "OQSHA-API")</f>
        <v/>
      </c>
      <c r="F2556">
        <f>HYPERLINK("http://gitlab.osmosys.co/incident-reporter/incident-reporter-api/-/merge_requests/4326", "fix: remove user access attribute from user dashboard preferences api")</f>
        <v/>
      </c>
      <c r="G2556" t="inlineStr">
        <is>
          <t>fix/user-dashboard-preferences</t>
        </is>
      </c>
      <c r="H2556" t="inlineStr">
        <is>
          <t>sprint-17</t>
        </is>
      </c>
      <c r="I2556" t="inlineStr">
        <is>
          <t>merged</t>
        </is>
      </c>
      <c r="J2556" t="inlineStr"/>
      <c r="K2556" t="inlineStr"/>
      <c r="L2556" t="inlineStr"/>
      <c r="M2556" t="inlineStr"/>
      <c r="N2556" t="inlineStr"/>
      <c r="O2556" t="inlineStr"/>
      <c r="P2556" t="inlineStr"/>
      <c r="Q2556" t="inlineStr"/>
    </row>
    <row r="2557">
      <c r="A2557" t="inlineStr">
        <is>
          <t>harish</t>
        </is>
      </c>
      <c r="B2557" t="inlineStr">
        <is>
          <t>Harish</t>
        </is>
      </c>
      <c r="C2557" t="inlineStr">
        <is>
          <t>harish@osmosys.co</t>
        </is>
      </c>
      <c r="D2557" t="inlineStr">
        <is>
          <t>incident-reporter</t>
        </is>
      </c>
      <c r="E2557">
        <f>HYPERLINK("http://gitlab.osmosys.co/incident-reporter/incident-reporter-api", "OQSHA-API")</f>
        <v/>
      </c>
      <c r="F2557">
        <f>HYPERLINK("http://gitlab.osmosys.co/incident-reporter/incident-reporter-api/-/merge_requests/4322", "ci: update the target branch to sprint-18")</f>
        <v/>
      </c>
      <c r="G2557" t="inlineStr">
        <is>
          <t>ci/update-target-branch</t>
        </is>
      </c>
      <c r="H2557" t="inlineStr">
        <is>
          <t>sprint-18</t>
        </is>
      </c>
      <c r="I2557" t="inlineStr">
        <is>
          <t>merged</t>
        </is>
      </c>
      <c r="J2557" t="inlineStr"/>
      <c r="K2557" t="inlineStr"/>
      <c r="L2557" t="inlineStr"/>
      <c r="M2557" t="inlineStr"/>
      <c r="N2557" t="inlineStr"/>
      <c r="O2557" t="inlineStr"/>
      <c r="P2557" t="inlineStr"/>
      <c r="Q2557" t="inlineStr"/>
    </row>
    <row r="2558">
      <c r="A2558" t="inlineStr">
        <is>
          <t>harish</t>
        </is>
      </c>
      <c r="B2558" t="inlineStr">
        <is>
          <t>Harish</t>
        </is>
      </c>
      <c r="C2558" t="inlineStr">
        <is>
          <t>harish@osmosys.co</t>
        </is>
      </c>
      <c r="D2558" t="inlineStr">
        <is>
          <t>incident-reporter</t>
        </is>
      </c>
      <c r="E2558">
        <f>HYPERLINK("http://gitlab.osmosys.co/incident-reporter/incident-reporter-api", "OQSHA-API")</f>
        <v/>
      </c>
      <c r="F2558">
        <f>HYPERLINK("http://gitlab.osmosys.co/incident-reporter/incident-reporter-api/-/merge_requests/4316", "feat: add ttk specific status for pssr")</f>
        <v/>
      </c>
      <c r="G2558" t="inlineStr">
        <is>
          <t>feat/pssr-status</t>
        </is>
      </c>
      <c r="H2558" t="inlineStr">
        <is>
          <t>sprint-18</t>
        </is>
      </c>
      <c r="I2558" t="inlineStr">
        <is>
          <t>merged</t>
        </is>
      </c>
      <c r="J2558" t="inlineStr"/>
      <c r="K2558" t="inlineStr"/>
      <c r="L2558" t="inlineStr"/>
      <c r="M2558" t="inlineStr"/>
      <c r="N2558" t="inlineStr"/>
      <c r="O2558" t="inlineStr"/>
      <c r="P2558" t="inlineStr"/>
      <c r="Q2558" t="inlineStr"/>
    </row>
    <row r="2559">
      <c r="A2559" t="inlineStr">
        <is>
          <t>harish</t>
        </is>
      </c>
      <c r="B2559" t="inlineStr">
        <is>
          <t>Harish</t>
        </is>
      </c>
      <c r="C2559" t="inlineStr">
        <is>
          <t>harish@osmosys.co</t>
        </is>
      </c>
      <c r="D2559" t="inlineStr">
        <is>
          <t>incident-reporter</t>
        </is>
      </c>
      <c r="E2559">
        <f>HYPERLINK("http://gitlab.osmosys.co/incident-reporter/incident-reporter-api", "OQSHA-API")</f>
        <v/>
      </c>
      <c r="F2559">
        <f>HYPERLINK("http://gitlab.osmosys.co/incident-reporter/incident-reporter-api/-/merge_requests/4307", "fix: update constant variable")</f>
        <v/>
      </c>
      <c r="G2559" t="inlineStr">
        <is>
          <t>fix/update-constant</t>
        </is>
      </c>
      <c r="H2559" t="inlineStr">
        <is>
          <t>sprint-18</t>
        </is>
      </c>
      <c r="I2559" t="inlineStr">
        <is>
          <t>opened</t>
        </is>
      </c>
      <c r="J2559" t="inlineStr">
        <is>
          <t>8e7a55d599d86e55c26aec231094bcf3e6494fa6</t>
        </is>
      </c>
      <c r="K2559">
        <f>HYPERLINK("http://gitlab.osmosys.co/incident-reporter/incident-reporter-api/-/merge_requests/4307#note_241109", "@harish  - Lets push this to Sprint-18, this needs UI fix too")</f>
        <v/>
      </c>
      <c r="L2559" t="inlineStr">
        <is>
          <t>2025-07-23 20:32:02.387 IST</t>
        </is>
      </c>
      <c r="M2559" t="inlineStr">
        <is>
          <t>Sindhusha</t>
        </is>
      </c>
      <c r="N2559" t="inlineStr">
        <is>
          <t>Yes</t>
        </is>
      </c>
      <c r="O2559" t="inlineStr">
        <is>
          <t>No</t>
        </is>
      </c>
      <c r="P2559" t="inlineStr"/>
      <c r="Q2559" t="inlineStr">
        <is>
          <t>Bad</t>
        </is>
      </c>
    </row>
    <row r="2560">
      <c r="A2560" t="inlineStr">
        <is>
          <t>harish</t>
        </is>
      </c>
      <c r="B2560" t="inlineStr">
        <is>
          <t>Harish</t>
        </is>
      </c>
      <c r="C2560" t="inlineStr">
        <is>
          <t>harish@osmosys.co</t>
        </is>
      </c>
      <c r="D2560" t="inlineStr">
        <is>
          <t>incident-reporter</t>
        </is>
      </c>
      <c r="E2560">
        <f>HYPERLINK("http://gitlab.osmosys.co/incident-reporter/incident-reporter-api", "OQSHA-API")</f>
        <v/>
      </c>
      <c r="F2560">
        <f>HYPERLINK("http://gitlab.osmosys.co/incident-reporter/incident-reporter-api/-/merge_requests/4307", "fix: update constant variable")</f>
        <v/>
      </c>
      <c r="G2560" t="inlineStr">
        <is>
          <t>fix/update-constant</t>
        </is>
      </c>
      <c r="H2560" t="inlineStr">
        <is>
          <t>sprint-18</t>
        </is>
      </c>
      <c r="I2560" t="inlineStr">
        <is>
          <t>opened</t>
        </is>
      </c>
      <c r="J2560" t="inlineStr">
        <is>
          <t>8e7a55d599d86e55c26aec231094bcf3e6494fa6</t>
        </is>
      </c>
      <c r="K2560">
        <f>HYPERLINK("http://gitlab.osmosys.co/incident-reporter/incident-reporter-api/-/merge_requests/4307#note_241111", "attaching it to a sprint-18 task")</f>
        <v/>
      </c>
      <c r="L2560" t="inlineStr">
        <is>
          <t>2025-07-23 20:33:26.459 IST</t>
        </is>
      </c>
      <c r="M2560" t="inlineStr">
        <is>
          <t>Harish</t>
        </is>
      </c>
      <c r="N2560" t="inlineStr">
        <is>
          <t>No</t>
        </is>
      </c>
      <c r="O2560" t="inlineStr">
        <is>
          <t>No</t>
        </is>
      </c>
      <c r="P2560" t="inlineStr"/>
      <c r="Q2560" t="inlineStr">
        <is>
          <t>Bad</t>
        </is>
      </c>
    </row>
    <row r="2561">
      <c r="A2561" t="inlineStr">
        <is>
          <t>harish</t>
        </is>
      </c>
      <c r="B2561" t="inlineStr">
        <is>
          <t>Harish</t>
        </is>
      </c>
      <c r="C2561" t="inlineStr">
        <is>
          <t>harish@osmosys.co</t>
        </is>
      </c>
      <c r="D2561" t="inlineStr">
        <is>
          <t>incident-reporter</t>
        </is>
      </c>
      <c r="E2561">
        <f>HYPERLINK("http://gitlab.osmosys.co/incident-reporter/incident-reporter-api", "OQSHA-API")</f>
        <v/>
      </c>
      <c r="F2561">
        <f>HYPERLINK("http://gitlab.osmosys.co/incident-reporter/incident-reporter-api/-/merge_requests/4295", "fix: resolve asset scheduling frequency addition in start time")</f>
        <v/>
      </c>
      <c r="G2561" t="inlineStr">
        <is>
          <t>fix/asset-scheduling</t>
        </is>
      </c>
      <c r="H2561" t="inlineStr">
        <is>
          <t>sprint-17</t>
        </is>
      </c>
      <c r="I2561" t="inlineStr">
        <is>
          <t>merged</t>
        </is>
      </c>
      <c r="J2561" t="inlineStr"/>
      <c r="K2561" t="inlineStr"/>
      <c r="L2561" t="inlineStr"/>
      <c r="M2561" t="inlineStr"/>
      <c r="N2561" t="inlineStr"/>
      <c r="O2561" t="inlineStr"/>
      <c r="P2561" t="inlineStr"/>
      <c r="Q2561" t="inlineStr"/>
    </row>
    <row r="2562">
      <c r="A2562" t="inlineStr">
        <is>
          <t>harish</t>
        </is>
      </c>
      <c r="B2562" t="inlineStr">
        <is>
          <t>Harish</t>
        </is>
      </c>
      <c r="C2562" t="inlineStr">
        <is>
          <t>harish@osmosys.co</t>
        </is>
      </c>
      <c r="D2562" t="inlineStr">
        <is>
          <t>incident-reporter</t>
        </is>
      </c>
      <c r="E2562">
        <f>HYPERLINK("http://gitlab.osmosys.co/incident-reporter/incident-reporter-api", "OQSHA-API")</f>
        <v/>
      </c>
      <c r="F2562">
        <f>HYPERLINK("http://gitlab.osmosys.co/incident-reporter/incident-reporter-api/-/merge_requests/4293", "feat: add default site filter in all list api")</f>
        <v/>
      </c>
      <c r="G2562" t="inlineStr">
        <is>
          <t>feat/user-site-filter</t>
        </is>
      </c>
      <c r="H2562" t="inlineStr">
        <is>
          <t>sprint-19</t>
        </is>
      </c>
      <c r="I2562" t="inlineStr">
        <is>
          <t>merged</t>
        </is>
      </c>
      <c r="J2562" t="inlineStr">
        <is>
          <t>f2a3b7fbfee7d53cddfffcb78206636a9af8f332</t>
        </is>
      </c>
      <c r="K2562">
        <f>HYPERLINK("http://gitlab.osmosys.co/incident-reporter/incident-reporter-api/-/merge_requests/4293#note_242143", "I need a list of all the APIs that are affected by this.")</f>
        <v/>
      </c>
      <c r="L2562" t="inlineStr">
        <is>
          <t>2025-07-25 20:47:21.194 IST</t>
        </is>
      </c>
      <c r="M2562" t="inlineStr">
        <is>
          <t>Sameer Shaik</t>
        </is>
      </c>
      <c r="N2562" t="inlineStr">
        <is>
          <t>Yes</t>
        </is>
      </c>
      <c r="O2562" t="inlineStr">
        <is>
          <t>No</t>
        </is>
      </c>
      <c r="P2562" t="inlineStr"/>
      <c r="Q2562" t="inlineStr">
        <is>
          <t>Bad</t>
        </is>
      </c>
    </row>
    <row r="2563">
      <c r="A2563" t="inlineStr">
        <is>
          <t>harish</t>
        </is>
      </c>
      <c r="B2563" t="inlineStr">
        <is>
          <t>Harish</t>
        </is>
      </c>
      <c r="C2563" t="inlineStr">
        <is>
          <t>harish@osmosys.co</t>
        </is>
      </c>
      <c r="D2563" t="inlineStr">
        <is>
          <t>incident-reporter</t>
        </is>
      </c>
      <c r="E2563">
        <f>HYPERLINK("http://gitlab.osmosys.co/incident-reporter/incident-reporter-api", "OQSHA-API")</f>
        <v/>
      </c>
      <c r="F2563">
        <f>HYPERLINK("http://gitlab.osmosys.co/incident-reporter/incident-reporter-api/-/merge_requests/4293", "feat: add default site filter in all list api")</f>
        <v/>
      </c>
      <c r="G2563" t="inlineStr">
        <is>
          <t>feat/user-site-filter</t>
        </is>
      </c>
      <c r="H2563" t="inlineStr">
        <is>
          <t>sprint-19</t>
        </is>
      </c>
      <c r="I2563" t="inlineStr">
        <is>
          <t>merged</t>
        </is>
      </c>
      <c r="J2563" t="inlineStr">
        <is>
          <t>3d11e1119d2501c8ed361abc045ba91d65964801</t>
        </is>
      </c>
      <c r="K2563">
        <f>HYPERLINK("http://gitlab.osmosys.co/incident-reporter/incident-reporter-api/-/merge_requests/4293#note_242144", "As this is in the same BLL, why not write a private function and reuse it instead of duplicating code?")</f>
        <v/>
      </c>
      <c r="L2563" t="inlineStr">
        <is>
          <t>2025-07-25 20:49:39.730 IST</t>
        </is>
      </c>
      <c r="M2563" t="inlineStr">
        <is>
          <t>Sameer Shaik</t>
        </is>
      </c>
      <c r="N2563" t="inlineStr">
        <is>
          <t>Yes</t>
        </is>
      </c>
      <c r="O2563" t="inlineStr">
        <is>
          <t>Yes</t>
        </is>
      </c>
      <c r="P2563" t="inlineStr">
        <is>
          <t>Sameer Shaik</t>
        </is>
      </c>
      <c r="Q2563" t="inlineStr">
        <is>
          <t>Bad</t>
        </is>
      </c>
    </row>
    <row r="2564">
      <c r="A2564" t="inlineStr">
        <is>
          <t>harish</t>
        </is>
      </c>
      <c r="B2564" t="inlineStr">
        <is>
          <t>Harish</t>
        </is>
      </c>
      <c r="C2564" t="inlineStr">
        <is>
          <t>harish@osmosys.co</t>
        </is>
      </c>
      <c r="D2564" t="inlineStr">
        <is>
          <t>incident-reporter</t>
        </is>
      </c>
      <c r="E2564">
        <f>HYPERLINK("http://gitlab.osmosys.co/incident-reporter/incident-reporter-api", "OQSHA-API")</f>
        <v/>
      </c>
      <c r="F2564">
        <f>HYPERLINK("http://gitlab.osmosys.co/incident-reporter/incident-reporter-api/-/merge_requests/4293", "feat: add default site filter in all list api")</f>
        <v/>
      </c>
      <c r="G2564" t="inlineStr">
        <is>
          <t>feat/user-site-filter</t>
        </is>
      </c>
      <c r="H2564" t="inlineStr">
        <is>
          <t>sprint-19</t>
        </is>
      </c>
      <c r="I2564" t="inlineStr">
        <is>
          <t>merged</t>
        </is>
      </c>
      <c r="J2564" t="inlineStr">
        <is>
          <t>3d11e1119d2501c8ed361abc045ba91d65964801</t>
        </is>
      </c>
      <c r="K2564">
        <f>HYPERLINK("http://gitlab.osmosys.co/incident-reporter/incident-reporter-api/-/merge_requests/4293#note_244765", "updated")</f>
        <v/>
      </c>
      <c r="L2564" t="inlineStr">
        <is>
          <t>2025-07-31 13:47:48.771 IST</t>
        </is>
      </c>
      <c r="M2564" t="inlineStr">
        <is>
          <t>Harish</t>
        </is>
      </c>
      <c r="N2564" t="inlineStr">
        <is>
          <t>No</t>
        </is>
      </c>
      <c r="O2564" t="inlineStr">
        <is>
          <t>Yes</t>
        </is>
      </c>
      <c r="P2564" t="inlineStr">
        <is>
          <t>Sameer Shaik</t>
        </is>
      </c>
      <c r="Q2564" t="inlineStr">
        <is>
          <t>Bad</t>
        </is>
      </c>
    </row>
    <row r="2565">
      <c r="A2565" t="inlineStr">
        <is>
          <t>harish</t>
        </is>
      </c>
      <c r="B2565" t="inlineStr">
        <is>
          <t>Harish</t>
        </is>
      </c>
      <c r="C2565" t="inlineStr">
        <is>
          <t>harish@osmosys.co</t>
        </is>
      </c>
      <c r="D2565" t="inlineStr">
        <is>
          <t>incident-reporter</t>
        </is>
      </c>
      <c r="E2565">
        <f>HYPERLINK("http://gitlab.osmosys.co/incident-reporter/incident-reporter-api", "OQSHA-API")</f>
        <v/>
      </c>
      <c r="F2565">
        <f>HYPERLINK("http://gitlab.osmosys.co/incident-reporter/incident-reporter-api/-/merge_requests/4293", "feat: add default site filter in all list api")</f>
        <v/>
      </c>
      <c r="G2565" t="inlineStr">
        <is>
          <t>feat/user-site-filter</t>
        </is>
      </c>
      <c r="H2565" t="inlineStr">
        <is>
          <t>sprint-19</t>
        </is>
      </c>
      <c r="I2565" t="inlineStr">
        <is>
          <t>merged</t>
        </is>
      </c>
      <c r="J2565" t="inlineStr">
        <is>
          <t>a37dec108d1f23904cdb89818a9137b060891d32</t>
        </is>
      </c>
      <c r="K2565">
        <f>HYPERLINK("http://gitlab.osmosys.co/incident-reporter/incident-reporter-api/-/merge_requests/4293#note_242145", "I need a list of all the APIs in which this has been added in the PR description.
Also need test cases.")</f>
        <v/>
      </c>
      <c r="L2565" t="inlineStr">
        <is>
          <t>2025-07-25 20:49:39.835 IST</t>
        </is>
      </c>
      <c r="M2565" t="inlineStr">
        <is>
          <t>Sameer Shaik</t>
        </is>
      </c>
      <c r="N2565" t="inlineStr">
        <is>
          <t>Yes</t>
        </is>
      </c>
      <c r="O2565" t="inlineStr">
        <is>
          <t>Yes</t>
        </is>
      </c>
      <c r="P2565" t="inlineStr">
        <is>
          <t>Sameer Shaik</t>
        </is>
      </c>
      <c r="Q2565" t="inlineStr">
        <is>
          <t>Bad</t>
        </is>
      </c>
    </row>
    <row r="2566">
      <c r="A2566" t="inlineStr">
        <is>
          <t>harish</t>
        </is>
      </c>
      <c r="B2566" t="inlineStr">
        <is>
          <t>Harish</t>
        </is>
      </c>
      <c r="C2566" t="inlineStr">
        <is>
          <t>harish@osmosys.co</t>
        </is>
      </c>
      <c r="D2566" t="inlineStr">
        <is>
          <t>incident-reporter</t>
        </is>
      </c>
      <c r="E2566">
        <f>HYPERLINK("http://gitlab.osmosys.co/incident-reporter/incident-reporter-api", "OQSHA-API")</f>
        <v/>
      </c>
      <c r="F2566">
        <f>HYPERLINK("http://gitlab.osmosys.co/incident-reporter/incident-reporter-api/-/merge_requests/4293", "feat: add default site filter in all list api")</f>
        <v/>
      </c>
      <c r="G2566" t="inlineStr">
        <is>
          <t>feat/user-site-filter</t>
        </is>
      </c>
      <c r="H2566" t="inlineStr">
        <is>
          <t>sprint-19</t>
        </is>
      </c>
      <c r="I2566" t="inlineStr">
        <is>
          <t>merged</t>
        </is>
      </c>
      <c r="J2566" t="inlineStr">
        <is>
          <t>a37dec108d1f23904cdb89818a9137b060891d32</t>
        </is>
      </c>
      <c r="K2566">
        <f>HYPERLINK("http://gitlab.osmosys.co/incident-reporter/incident-reporter-api/-/merge_requests/4293#note_244895", "added")</f>
        <v/>
      </c>
      <c r="L2566" t="inlineStr">
        <is>
          <t>2025-07-31 14:33:07.533 IST</t>
        </is>
      </c>
      <c r="M2566" t="inlineStr">
        <is>
          <t>Harish</t>
        </is>
      </c>
      <c r="N2566" t="inlineStr">
        <is>
          <t>No</t>
        </is>
      </c>
      <c r="O2566" t="inlineStr">
        <is>
          <t>Yes</t>
        </is>
      </c>
      <c r="P2566" t="inlineStr">
        <is>
          <t>Sameer Shaik</t>
        </is>
      </c>
      <c r="Q2566" t="inlineStr">
        <is>
          <t>Bad</t>
        </is>
      </c>
    </row>
    <row r="2567">
      <c r="A2567" t="inlineStr">
        <is>
          <t>harish</t>
        </is>
      </c>
      <c r="B2567" t="inlineStr">
        <is>
          <t>Harish</t>
        </is>
      </c>
      <c r="C2567" t="inlineStr">
        <is>
          <t>harish@osmosys.co</t>
        </is>
      </c>
      <c r="D2567" t="inlineStr">
        <is>
          <t>incident-reporter</t>
        </is>
      </c>
      <c r="E2567">
        <f>HYPERLINK("http://gitlab.osmosys.co/incident-reporter/incident-reporter-api", "OQSHA-API")</f>
        <v/>
      </c>
      <c r="F2567">
        <f>HYPERLINK("http://gitlab.osmosys.co/incident-reporter/incident-reporter-api/-/merge_requests/4290", "fix: add draft status for inspection")</f>
        <v/>
      </c>
      <c r="G2567" t="inlineStr">
        <is>
          <t>feat/inspection-draft-status</t>
        </is>
      </c>
      <c r="H2567" t="inlineStr">
        <is>
          <t>sprint-17</t>
        </is>
      </c>
      <c r="I2567" t="inlineStr">
        <is>
          <t>merged</t>
        </is>
      </c>
      <c r="J2567" t="inlineStr"/>
      <c r="K2567" t="inlineStr"/>
      <c r="L2567" t="inlineStr"/>
      <c r="M2567" t="inlineStr"/>
      <c r="N2567" t="inlineStr"/>
      <c r="O2567" t="inlineStr"/>
      <c r="P2567" t="inlineStr"/>
      <c r="Q2567" t="inlineStr"/>
    </row>
    <row r="2568">
      <c r="A2568" t="inlineStr">
        <is>
          <t>harish</t>
        </is>
      </c>
      <c r="B2568" t="inlineStr">
        <is>
          <t>Harish</t>
        </is>
      </c>
      <c r="C2568" t="inlineStr">
        <is>
          <t>harish@osmosys.co</t>
        </is>
      </c>
      <c r="D2568" t="inlineStr">
        <is>
          <t>incident-reporter</t>
        </is>
      </c>
      <c r="E2568">
        <f>HYPERLINK("http://gitlab.osmosys.co/incident-reporter/incident-reporter-api", "OQSHA-API")</f>
        <v/>
      </c>
      <c r="F2568">
        <f>HYPERLINK("http://gitlab.osmosys.co/incident-reporter/incident-reporter-api/-/merge_requests/4270", "fix: update column type to enum instead of int in user registration table")</f>
        <v/>
      </c>
      <c r="G2568" t="inlineStr">
        <is>
          <t>feat/update-column-enum</t>
        </is>
      </c>
      <c r="H2568" t="inlineStr">
        <is>
          <t>sprint-18</t>
        </is>
      </c>
      <c r="I2568" t="inlineStr">
        <is>
          <t>merged</t>
        </is>
      </c>
      <c r="J2568" t="inlineStr"/>
      <c r="K2568" t="inlineStr"/>
      <c r="L2568" t="inlineStr"/>
      <c r="M2568" t="inlineStr"/>
      <c r="N2568" t="inlineStr"/>
      <c r="O2568" t="inlineStr"/>
      <c r="P2568" t="inlineStr"/>
      <c r="Q2568" t="inlineStr"/>
    </row>
    <row r="2569">
      <c r="A2569" t="inlineStr">
        <is>
          <t>harish</t>
        </is>
      </c>
      <c r="B2569" t="inlineStr">
        <is>
          <t>Harish</t>
        </is>
      </c>
      <c r="C2569" t="inlineStr">
        <is>
          <t>harish@osmosys.co</t>
        </is>
      </c>
      <c r="D2569" t="inlineStr">
        <is>
          <t>incident-reporter</t>
        </is>
      </c>
      <c r="E2569">
        <f>HYPERLINK("http://gitlab.osmosys.co/incident-reporter/incident-reporter-api", "OQSHA-API")</f>
        <v/>
      </c>
      <c r="F2569">
        <f>HYPERLINK("http://gitlab.osmosys.co/incident-reporter/incident-reporter-api/-/merge_requests/4261", "fix: resolve issue with site Id filter for ticket")</f>
        <v/>
      </c>
      <c r="G2569" t="inlineStr">
        <is>
          <t>feat/update-get-incident</t>
        </is>
      </c>
      <c r="H2569" t="inlineStr">
        <is>
          <t>sprint-17</t>
        </is>
      </c>
      <c r="I2569" t="inlineStr">
        <is>
          <t>merged</t>
        </is>
      </c>
      <c r="J2569" t="inlineStr"/>
      <c r="K2569" t="inlineStr"/>
      <c r="L2569" t="inlineStr"/>
      <c r="M2569" t="inlineStr"/>
      <c r="N2569" t="inlineStr"/>
      <c r="O2569" t="inlineStr"/>
      <c r="P2569" t="inlineStr"/>
      <c r="Q2569" t="inlineStr"/>
    </row>
    <row r="2570">
      <c r="A2570" t="inlineStr">
        <is>
          <t>harish</t>
        </is>
      </c>
      <c r="B2570" t="inlineStr">
        <is>
          <t>Harish</t>
        </is>
      </c>
      <c r="C2570" t="inlineStr">
        <is>
          <t>harish@osmosys.co</t>
        </is>
      </c>
      <c r="D2570" t="inlineStr">
        <is>
          <t>incident-reporter</t>
        </is>
      </c>
      <c r="E2570">
        <f>HYPERLINK("http://gitlab.osmosys.co/incident-reporter/incident-reporter-api", "OQSHA-API")</f>
        <v/>
      </c>
      <c r="F2570">
        <f>HYPERLINK("http://gitlab.osmosys.co/incident-reporter/incident-reporter-api/-/merge_requests/4259", "feat: update inspection details to handle updation of all fields")</f>
        <v/>
      </c>
      <c r="G2570" t="inlineStr">
        <is>
          <t>inspection-update</t>
        </is>
      </c>
      <c r="H2570" t="inlineStr">
        <is>
          <t>sprint-19</t>
        </is>
      </c>
      <c r="I2570" t="inlineStr">
        <is>
          <t>merged</t>
        </is>
      </c>
      <c r="J2570" t="inlineStr"/>
      <c r="K2570" t="inlineStr"/>
      <c r="L2570" t="inlineStr"/>
      <c r="M2570" t="inlineStr"/>
      <c r="N2570" t="inlineStr"/>
      <c r="O2570" t="inlineStr"/>
      <c r="P2570" t="inlineStr"/>
      <c r="Q2570" t="inlineStr"/>
    </row>
    <row r="2571">
      <c r="A2571" t="inlineStr">
        <is>
          <t>harish</t>
        </is>
      </c>
      <c r="B2571" t="inlineStr">
        <is>
          <t>Harish</t>
        </is>
      </c>
      <c r="C2571" t="inlineStr">
        <is>
          <t>harish@osmosys.co</t>
        </is>
      </c>
      <c r="D2571" t="inlineStr">
        <is>
          <t>incident-reporter</t>
        </is>
      </c>
      <c r="E2571">
        <f>HYPERLINK("http://gitlab.osmosys.co/incident-reporter/incident-reporter-api", "OQSHA-API")</f>
        <v/>
      </c>
      <c r="F2571">
        <f>HYPERLINK("http://gitlab.osmosys.co/incident-reporter/incident-reporter-api/-/merge_requests/4254", "chore: merge sprint-17 to sprint-18 and update cd to target dev server")</f>
        <v/>
      </c>
      <c r="G2571" t="inlineStr">
        <is>
          <t>chore/sprint17-to-sprint18</t>
        </is>
      </c>
      <c r="H2571" t="inlineStr">
        <is>
          <t>sprint-18</t>
        </is>
      </c>
      <c r="I2571" t="inlineStr">
        <is>
          <t>merged</t>
        </is>
      </c>
      <c r="J2571" t="inlineStr"/>
      <c r="K2571" t="inlineStr"/>
      <c r="L2571" t="inlineStr"/>
      <c r="M2571" t="inlineStr"/>
      <c r="N2571" t="inlineStr"/>
      <c r="O2571" t="inlineStr"/>
      <c r="P2571" t="inlineStr"/>
      <c r="Q2571" t="inlineStr"/>
    </row>
    <row r="2572">
      <c r="A2572" t="inlineStr">
        <is>
          <t>harish</t>
        </is>
      </c>
      <c r="B2572" t="inlineStr">
        <is>
          <t>Harish</t>
        </is>
      </c>
      <c r="C2572" t="inlineStr">
        <is>
          <t>harish@osmosys.co</t>
        </is>
      </c>
      <c r="D2572" t="inlineStr">
        <is>
          <t>incident-reporter</t>
        </is>
      </c>
      <c r="E2572">
        <f>HYPERLINK("http://gitlab.osmosys.co/incident-reporter/incident-reporter-api", "OQSHA-API")</f>
        <v/>
      </c>
      <c r="F2572">
        <f>HYPERLINK("http://gitlab.osmosys.co/incident-reporter/incident-reporter-api/-/merge_requests/4251", "style: update the comment in the incident bll")</f>
        <v/>
      </c>
      <c r="G2572" t="inlineStr">
        <is>
          <t>fix/site-organisation</t>
        </is>
      </c>
      <c r="H2572" t="inlineStr">
        <is>
          <t>sprint-17</t>
        </is>
      </c>
      <c r="I2572" t="inlineStr">
        <is>
          <t>opened</t>
        </is>
      </c>
      <c r="J2572" t="inlineStr"/>
      <c r="K2572" t="inlineStr"/>
      <c r="L2572" t="inlineStr"/>
      <c r="M2572" t="inlineStr"/>
      <c r="N2572" t="inlineStr"/>
      <c r="O2572" t="inlineStr"/>
      <c r="P2572" t="inlineStr"/>
      <c r="Q2572" t="inlineStr"/>
    </row>
    <row r="2573">
      <c r="A2573" t="inlineStr">
        <is>
          <t>harish</t>
        </is>
      </c>
      <c r="B2573" t="inlineStr">
        <is>
          <t>Harish</t>
        </is>
      </c>
      <c r="C2573" t="inlineStr">
        <is>
          <t>harish@osmosys.co</t>
        </is>
      </c>
      <c r="D2573" t="inlineStr">
        <is>
          <t>incident-reporter</t>
        </is>
      </c>
      <c r="E2573">
        <f>HYPERLINK("http://gitlab.osmosys.co/incident-reporter/incident-reporter-api", "OQSHA-API")</f>
        <v/>
      </c>
      <c r="F2573">
        <f>HYPERLINK("http://gitlab.osmosys.co/incident-reporter/incident-reporter-api/-/merge_requests/4247", "feat: add module and org level flag for enableAllSites")</f>
        <v/>
      </c>
      <c r="G2573" t="inlineStr">
        <is>
          <t>fix/site-organisation</t>
        </is>
      </c>
      <c r="H2573" t="inlineStr">
        <is>
          <t>sprint-17</t>
        </is>
      </c>
      <c r="I2573" t="inlineStr">
        <is>
          <t>merged</t>
        </is>
      </c>
      <c r="J2573" t="inlineStr"/>
      <c r="K2573" t="inlineStr"/>
      <c r="L2573" t="inlineStr"/>
      <c r="M2573" t="inlineStr"/>
      <c r="N2573" t="inlineStr"/>
      <c r="O2573" t="inlineStr"/>
      <c r="P2573" t="inlineStr"/>
      <c r="Q2573" t="inlineStr"/>
    </row>
    <row r="2574">
      <c r="A2574" t="inlineStr">
        <is>
          <t>harish</t>
        </is>
      </c>
      <c r="B2574" t="inlineStr">
        <is>
          <t>Harish</t>
        </is>
      </c>
      <c r="C2574" t="inlineStr">
        <is>
          <t>harish@osmosys.co</t>
        </is>
      </c>
      <c r="D2574" t="inlineStr">
        <is>
          <t>incident-reporter</t>
        </is>
      </c>
      <c r="E2574">
        <f>HYPERLINK("http://gitlab.osmosys.co/incident-reporter/incident-reporter-api", "OQSHA-API")</f>
        <v/>
      </c>
      <c r="F2574">
        <f>HYPERLINK("http://gitlab.osmosys.co/incident-reporter/incident-reporter-api/-/merge_requests/4243", "fix: resolve the order of notification")</f>
        <v/>
      </c>
      <c r="G2574" t="inlineStr">
        <is>
          <t>fix/inspection</t>
        </is>
      </c>
      <c r="H2574" t="inlineStr">
        <is>
          <t>sprint-17</t>
        </is>
      </c>
      <c r="I2574" t="inlineStr">
        <is>
          <t>merged</t>
        </is>
      </c>
      <c r="J2574" t="inlineStr"/>
      <c r="K2574" t="inlineStr"/>
      <c r="L2574" t="inlineStr"/>
      <c r="M2574" t="inlineStr"/>
      <c r="N2574" t="inlineStr"/>
      <c r="O2574" t="inlineStr"/>
      <c r="P2574" t="inlineStr"/>
      <c r="Q2574" t="inlineStr"/>
    </row>
    <row r="2575">
      <c r="A2575" t="inlineStr">
        <is>
          <t>harish</t>
        </is>
      </c>
      <c r="B2575" t="inlineStr">
        <is>
          <t>Harish</t>
        </is>
      </c>
      <c r="C2575" t="inlineStr">
        <is>
          <t>harish@osmosys.co</t>
        </is>
      </c>
      <c r="D2575" t="inlineStr">
        <is>
          <t>incident-reporter</t>
        </is>
      </c>
      <c r="E2575">
        <f>HYPERLINK("http://gitlab.osmosys.co/incident-reporter/incident-reporter-api", "OQSHA-API")</f>
        <v/>
      </c>
      <c r="F2575">
        <f>HYPERLINK("http://gitlab.osmosys.co/incident-reporter/incident-reporter-api/-/merge_requests/4242", "fix: inspection notification")</f>
        <v/>
      </c>
      <c r="G2575" t="inlineStr">
        <is>
          <t>fix/inspection</t>
        </is>
      </c>
      <c r="H2575" t="inlineStr">
        <is>
          <t>sprint-17</t>
        </is>
      </c>
      <c r="I2575" t="inlineStr">
        <is>
          <t>merged</t>
        </is>
      </c>
      <c r="J2575" t="inlineStr"/>
      <c r="K2575" t="inlineStr"/>
      <c r="L2575" t="inlineStr"/>
      <c r="M2575" t="inlineStr"/>
      <c r="N2575" t="inlineStr"/>
      <c r="O2575" t="inlineStr"/>
      <c r="P2575" t="inlineStr"/>
      <c r="Q2575" t="inlineStr"/>
    </row>
    <row r="2576">
      <c r="A2576" t="inlineStr">
        <is>
          <t>harish</t>
        </is>
      </c>
      <c r="B2576" t="inlineStr">
        <is>
          <t>Harish</t>
        </is>
      </c>
      <c r="C2576" t="inlineStr">
        <is>
          <t>harish@osmosys.co</t>
        </is>
      </c>
      <c r="D2576" t="inlineStr">
        <is>
          <t>incident-reporter</t>
        </is>
      </c>
      <c r="E2576">
        <f>HYPERLINK("http://gitlab.osmosys.co/incident-reporter/incident-reporter-api", "OQSHA-API")</f>
        <v/>
      </c>
      <c r="F2576">
        <f>HYPERLINK("http://gitlab.osmosys.co/incident-reporter/incident-reporter-api/-/merge_requests/4237", "fix: update the inspection save status to draft in asset maintenance")</f>
        <v/>
      </c>
      <c r="G2576" t="inlineStr">
        <is>
          <t>fix/asset-maintenace</t>
        </is>
      </c>
      <c r="H2576" t="inlineStr">
        <is>
          <t>sprint-17</t>
        </is>
      </c>
      <c r="I2576" t="inlineStr">
        <is>
          <t>merged</t>
        </is>
      </c>
      <c r="J2576" t="inlineStr"/>
      <c r="K2576" t="inlineStr"/>
      <c r="L2576" t="inlineStr"/>
      <c r="M2576" t="inlineStr"/>
      <c r="N2576" t="inlineStr"/>
      <c r="O2576" t="inlineStr"/>
      <c r="P2576" t="inlineStr"/>
      <c r="Q2576" t="inlineStr"/>
    </row>
    <row r="2577">
      <c r="A2577" t="inlineStr">
        <is>
          <t>harish</t>
        </is>
      </c>
      <c r="B2577" t="inlineStr">
        <is>
          <t>Harish</t>
        </is>
      </c>
      <c r="C2577" t="inlineStr">
        <is>
          <t>harish@osmosys.co</t>
        </is>
      </c>
      <c r="D2577" t="inlineStr">
        <is>
          <t>incident-reporter</t>
        </is>
      </c>
      <c r="E2577">
        <f>HYPERLINK("http://gitlab.osmosys.co/incident-reporter/incident-reporter-api", "OQSHA-API")</f>
        <v/>
      </c>
      <c r="F2577">
        <f>HYPERLINK("http://gitlab.osmosys.co/incident-reporter/incident-reporter-api/-/merge_requests/4234", "fix: resolve issue with assigned to notification")</f>
        <v/>
      </c>
      <c r="G2577" t="inlineStr">
        <is>
          <t>fix/inspection-notification</t>
        </is>
      </c>
      <c r="H2577" t="inlineStr">
        <is>
          <t>sprint-17</t>
        </is>
      </c>
      <c r="I2577" t="inlineStr">
        <is>
          <t>merged</t>
        </is>
      </c>
      <c r="J2577" t="inlineStr"/>
      <c r="K2577" t="inlineStr"/>
      <c r="L2577" t="inlineStr"/>
      <c r="M2577" t="inlineStr"/>
      <c r="N2577" t="inlineStr"/>
      <c r="O2577" t="inlineStr"/>
      <c r="P2577" t="inlineStr"/>
      <c r="Q2577" t="inlineStr"/>
    </row>
    <row r="2578">
      <c r="A2578" t="inlineStr">
        <is>
          <t>harish</t>
        </is>
      </c>
      <c r="B2578" t="inlineStr">
        <is>
          <t>Harish</t>
        </is>
      </c>
      <c r="C2578" t="inlineStr">
        <is>
          <t>harish@osmosys.co</t>
        </is>
      </c>
      <c r="D2578" t="inlineStr">
        <is>
          <t>incident-reporter</t>
        </is>
      </c>
      <c r="E2578">
        <f>HYPERLINK("http://gitlab.osmosys.co/incident-reporter/incident-reporter-api", "OQSHA-API")</f>
        <v/>
      </c>
      <c r="F2578">
        <f>HYPERLINK("http://gitlab.osmosys.co/incident-reporter/incident-reporter-api/-/merge_requests/4231", "fix: remove console logs used in the codebase")</f>
        <v/>
      </c>
      <c r="G2578" t="inlineStr">
        <is>
          <t>fix/task-module</t>
        </is>
      </c>
      <c r="H2578" t="inlineStr">
        <is>
          <t>sprint-18</t>
        </is>
      </c>
      <c r="I2578" t="inlineStr">
        <is>
          <t>merged</t>
        </is>
      </c>
      <c r="J2578" t="inlineStr"/>
      <c r="K2578" t="inlineStr"/>
      <c r="L2578" t="inlineStr"/>
      <c r="M2578" t="inlineStr"/>
      <c r="N2578" t="inlineStr"/>
      <c r="O2578" t="inlineStr"/>
      <c r="P2578" t="inlineStr"/>
      <c r="Q2578" t="inlineStr"/>
    </row>
    <row r="2579">
      <c r="A2579" t="inlineStr">
        <is>
          <t>harish</t>
        </is>
      </c>
      <c r="B2579" t="inlineStr">
        <is>
          <t>Harish</t>
        </is>
      </c>
      <c r="C2579" t="inlineStr">
        <is>
          <t>harish@osmosys.co</t>
        </is>
      </c>
      <c r="D2579" t="inlineStr">
        <is>
          <t>incident-reporter</t>
        </is>
      </c>
      <c r="E2579">
        <f>HYPERLINK("http://gitlab.osmosys.co/incident-reporter/incident-reporter-api", "OQSHA-API")</f>
        <v/>
      </c>
      <c r="F2579">
        <f>HYPERLINK("http://gitlab.osmosys.co/incident-reporter/incident-reporter-api/-/merge_requests/4228", "fix: add due date in incident track history")</f>
        <v/>
      </c>
      <c r="G2579" t="inlineStr">
        <is>
          <t>fix/ticket-comments</t>
        </is>
      </c>
      <c r="H2579" t="inlineStr">
        <is>
          <t>sprint-17</t>
        </is>
      </c>
      <c r="I2579" t="inlineStr">
        <is>
          <t>merged</t>
        </is>
      </c>
      <c r="J2579" t="inlineStr"/>
      <c r="K2579" t="inlineStr"/>
      <c r="L2579" t="inlineStr"/>
      <c r="M2579" t="inlineStr"/>
      <c r="N2579" t="inlineStr"/>
      <c r="O2579" t="inlineStr"/>
      <c r="P2579" t="inlineStr"/>
      <c r="Q2579" t="inlineStr"/>
    </row>
    <row r="2580">
      <c r="A2580" t="inlineStr">
        <is>
          <t>harish</t>
        </is>
      </c>
      <c r="B2580" t="inlineStr">
        <is>
          <t>Harish</t>
        </is>
      </c>
      <c r="C2580" t="inlineStr">
        <is>
          <t>harish@osmosys.co</t>
        </is>
      </c>
      <c r="D2580" t="inlineStr">
        <is>
          <t>incident-reporter</t>
        </is>
      </c>
      <c r="E2580">
        <f>HYPERLINK("http://gitlab.osmosys.co/incident-reporter/incident-reporter-api", "OQSHA-API")</f>
        <v/>
      </c>
      <c r="F2580">
        <f>HYPERLINK("http://gitlab.osmosys.co/incident-reporter/incident-reporter-api/-/merge_requests/4216", "fix: add due date filter to task and inspection")</f>
        <v/>
      </c>
      <c r="G2580" t="inlineStr">
        <is>
          <t>fix/due-date-filter</t>
        </is>
      </c>
      <c r="H2580" t="inlineStr">
        <is>
          <t>sprint-17</t>
        </is>
      </c>
      <c r="I2580" t="inlineStr">
        <is>
          <t>merged</t>
        </is>
      </c>
      <c r="J2580" t="inlineStr">
        <is>
          <t>e15f0365edb32759bd89c3ae4a04d65487dfeb63</t>
        </is>
      </c>
      <c r="K2580">
        <f>HYPERLINK("http://gitlab.osmosys.co/incident-reporter/incident-reporter-api/-/merge_requests/4216#note_238242", "Elaborate this condition.")</f>
        <v/>
      </c>
      <c r="L2580" t="inlineStr">
        <is>
          <t>2025-07-17 12:54:20.953 IST</t>
        </is>
      </c>
      <c r="M2580" t="inlineStr">
        <is>
          <t>Sindhusha</t>
        </is>
      </c>
      <c r="N2580" t="inlineStr">
        <is>
          <t>Yes</t>
        </is>
      </c>
      <c r="O2580" t="inlineStr">
        <is>
          <t>Yes</t>
        </is>
      </c>
      <c r="P2580" t="inlineStr">
        <is>
          <t>Sindhusha</t>
        </is>
      </c>
      <c r="Q2580" t="inlineStr">
        <is>
          <t>Neutral</t>
        </is>
      </c>
    </row>
    <row r="2581">
      <c r="A2581" t="inlineStr">
        <is>
          <t>harish</t>
        </is>
      </c>
      <c r="B2581" t="inlineStr">
        <is>
          <t>Harish</t>
        </is>
      </c>
      <c r="C2581" t="inlineStr">
        <is>
          <t>harish@osmosys.co</t>
        </is>
      </c>
      <c r="D2581" t="inlineStr">
        <is>
          <t>incident-reporter</t>
        </is>
      </c>
      <c r="E2581">
        <f>HYPERLINK("http://gitlab.osmosys.co/incident-reporter/incident-reporter-api", "OQSHA-API")</f>
        <v/>
      </c>
      <c r="F2581">
        <f>HYPERLINK("http://gitlab.osmosys.co/incident-reporter/incident-reporter-api/-/merge_requests/4216", "fix: add due date filter to task and inspection")</f>
        <v/>
      </c>
      <c r="G2581" t="inlineStr">
        <is>
          <t>fix/due-date-filter</t>
        </is>
      </c>
      <c r="H2581" t="inlineStr">
        <is>
          <t>sprint-17</t>
        </is>
      </c>
      <c r="I2581" t="inlineStr">
        <is>
          <t>merged</t>
        </is>
      </c>
      <c r="J2581" t="inlineStr">
        <is>
          <t>e15f0365edb32759bd89c3ae4a04d65487dfeb63</t>
        </is>
      </c>
      <c r="K2581">
        <f>HYPERLINK("http://gitlab.osmosys.co/incident-reporter/incident-reporter-api/-/merge_requests/4216#note_238251", "This ensures that when DateFilterBy is null, it defaults to CreatedOn.
If not null check the condition if DateFilterBy  == DueDate - then use due date column otherwise created on")</f>
        <v/>
      </c>
      <c r="L2581" t="inlineStr">
        <is>
          <t>2025-07-17 12:55:26.504 IST</t>
        </is>
      </c>
      <c r="M2581" t="inlineStr">
        <is>
          <t>Harish</t>
        </is>
      </c>
      <c r="N2581" t="inlineStr">
        <is>
          <t>No</t>
        </is>
      </c>
      <c r="O2581" t="inlineStr">
        <is>
          <t>Yes</t>
        </is>
      </c>
      <c r="P2581" t="inlineStr">
        <is>
          <t>Sindhusha</t>
        </is>
      </c>
      <c r="Q2581" t="inlineStr">
        <is>
          <t>Neutral</t>
        </is>
      </c>
    </row>
    <row r="2582">
      <c r="A2582" t="inlineStr">
        <is>
          <t>harish</t>
        </is>
      </c>
      <c r="B2582" t="inlineStr">
        <is>
          <t>Harish</t>
        </is>
      </c>
      <c r="C2582" t="inlineStr">
        <is>
          <t>harish@osmosys.co</t>
        </is>
      </c>
      <c r="D2582" t="inlineStr">
        <is>
          <t>incident-reporter</t>
        </is>
      </c>
      <c r="E2582">
        <f>HYPERLINK("http://gitlab.osmosys.co/incident-reporter/incident-reporter-api", "OQSHA-API")</f>
        <v/>
      </c>
      <c r="F2582">
        <f>HYPERLINK("http://gitlab.osmosys.co/incident-reporter/incident-reporter-api/-/merge_requests/4214", "fix: add page number modifcation for task list pagination")</f>
        <v/>
      </c>
      <c r="G2582" t="inlineStr">
        <is>
          <t>fix/remove-max-page-size</t>
        </is>
      </c>
      <c r="H2582" t="inlineStr">
        <is>
          <t>sprint-17</t>
        </is>
      </c>
      <c r="I2582" t="inlineStr">
        <is>
          <t>merged</t>
        </is>
      </c>
      <c r="J2582" t="inlineStr"/>
      <c r="K2582" t="inlineStr"/>
      <c r="L2582" t="inlineStr"/>
      <c r="M2582" t="inlineStr"/>
      <c r="N2582" t="inlineStr"/>
      <c r="O2582" t="inlineStr"/>
      <c r="P2582" t="inlineStr"/>
      <c r="Q2582" t="inlineStr"/>
    </row>
    <row r="2583">
      <c r="A2583" t="inlineStr">
        <is>
          <t>harish</t>
        </is>
      </c>
      <c r="B2583" t="inlineStr">
        <is>
          <t>Harish</t>
        </is>
      </c>
      <c r="C2583" t="inlineStr">
        <is>
          <t>harish@osmosys.co</t>
        </is>
      </c>
      <c r="D2583" t="inlineStr">
        <is>
          <t>incident-reporter</t>
        </is>
      </c>
      <c r="E2583">
        <f>HYPERLINK("http://gitlab.osmosys.co/incident-reporter/incident-reporter-api", "OQSHA-API")</f>
        <v/>
      </c>
      <c r="F2583">
        <f>HYPERLINK("http://gitlab.osmosys.co/incident-reporter/incident-reporter-api/-/merge_requests/4211", "fix: remove max page size limit from task")</f>
        <v/>
      </c>
      <c r="G2583" t="inlineStr">
        <is>
          <t>fix/remove-max-page-size</t>
        </is>
      </c>
      <c r="H2583" t="inlineStr">
        <is>
          <t>sprint-17</t>
        </is>
      </c>
      <c r="I2583" t="inlineStr">
        <is>
          <t>merged</t>
        </is>
      </c>
      <c r="J2583" t="inlineStr"/>
      <c r="K2583" t="inlineStr"/>
      <c r="L2583" t="inlineStr"/>
      <c r="M2583" t="inlineStr"/>
      <c r="N2583" t="inlineStr"/>
      <c r="O2583" t="inlineStr"/>
      <c r="P2583" t="inlineStr"/>
      <c r="Q2583" t="inlineStr"/>
    </row>
    <row r="2584">
      <c r="A2584" t="inlineStr">
        <is>
          <t>harish</t>
        </is>
      </c>
      <c r="B2584" t="inlineStr">
        <is>
          <t>Harish</t>
        </is>
      </c>
      <c r="C2584" t="inlineStr">
        <is>
          <t>harish@osmosys.co</t>
        </is>
      </c>
      <c r="D2584" t="inlineStr">
        <is>
          <t>incident-reporter</t>
        </is>
      </c>
      <c r="E2584">
        <f>HYPERLINK("http://gitlab.osmosys.co/incident-reporter/incident-reporter-api", "OQSHA-API")</f>
        <v/>
      </c>
      <c r="F2584">
        <f>HYPERLINK("http://gitlab.osmosys.co/incident-reporter/incident-reporter-api/-/merge_requests/4205", "feat: update asset maintenance helper cron to include latest updation in modules")</f>
        <v/>
      </c>
      <c r="G2584" t="inlineStr">
        <is>
          <t>fix/user-site-filter</t>
        </is>
      </c>
      <c r="H2584" t="inlineStr">
        <is>
          <t>sprint-17</t>
        </is>
      </c>
      <c r="I2584" t="inlineStr">
        <is>
          <t>merged</t>
        </is>
      </c>
      <c r="J2584" t="inlineStr"/>
      <c r="K2584" t="inlineStr"/>
      <c r="L2584" t="inlineStr"/>
      <c r="M2584" t="inlineStr"/>
      <c r="N2584" t="inlineStr"/>
      <c r="O2584" t="inlineStr"/>
      <c r="P2584" t="inlineStr"/>
      <c r="Q2584" t="inlineStr"/>
    </row>
    <row r="2585">
      <c r="A2585" t="inlineStr">
        <is>
          <t>harish</t>
        </is>
      </c>
      <c r="B2585" t="inlineStr">
        <is>
          <t>Harish</t>
        </is>
      </c>
      <c r="C2585" t="inlineStr">
        <is>
          <t>harish@osmosys.co</t>
        </is>
      </c>
      <c r="D2585" t="inlineStr">
        <is>
          <t>incident-reporter</t>
        </is>
      </c>
      <c r="E2585">
        <f>HYPERLINK("http://gitlab.osmosys.co/incident-reporter/incident-reporter-api", "OQSHA-API")</f>
        <v/>
      </c>
      <c r="F2585">
        <f>HYPERLINK("http://gitlab.osmosys.co/incident-reporter/incident-reporter-api/-/merge_requests/4195", "fix: add null check before soft delete of assigned to userId")</f>
        <v/>
      </c>
      <c r="G2585" t="inlineStr">
        <is>
          <t>fix/inspection-update</t>
        </is>
      </c>
      <c r="H2585" t="inlineStr">
        <is>
          <t>sprint-17</t>
        </is>
      </c>
      <c r="I2585" t="inlineStr">
        <is>
          <t>merged</t>
        </is>
      </c>
      <c r="J2585" t="inlineStr"/>
      <c r="K2585" t="inlineStr"/>
      <c r="L2585" t="inlineStr"/>
      <c r="M2585" t="inlineStr"/>
      <c r="N2585" t="inlineStr"/>
      <c r="O2585" t="inlineStr"/>
      <c r="P2585" t="inlineStr"/>
      <c r="Q2585" t="inlineStr"/>
    </row>
    <row r="2586">
      <c r="A2586" t="inlineStr">
        <is>
          <t>harish</t>
        </is>
      </c>
      <c r="B2586" t="inlineStr">
        <is>
          <t>Harish</t>
        </is>
      </c>
      <c r="C2586" t="inlineStr">
        <is>
          <t>harish@osmosys.co</t>
        </is>
      </c>
      <c r="D2586" t="inlineStr">
        <is>
          <t>incident-reporter</t>
        </is>
      </c>
      <c r="E2586">
        <f>HYPERLINK("http://gitlab.osmosys.co/incident-reporter/incident-reporter-api", "OQSHA-API")</f>
        <v/>
      </c>
      <c r="F2586">
        <f>HYPERLINK("http://gitlab.osmosys.co/incident-reporter/incident-reporter-api/-/merge_requests/4191", "fix: update site creation to take isactive column as per ui input")</f>
        <v/>
      </c>
      <c r="G2586" t="inlineStr">
        <is>
          <t>fix/site-status</t>
        </is>
      </c>
      <c r="H2586" t="inlineStr">
        <is>
          <t>sprint-17</t>
        </is>
      </c>
      <c r="I2586" t="inlineStr">
        <is>
          <t>merged</t>
        </is>
      </c>
      <c r="J2586" t="inlineStr"/>
      <c r="K2586" t="inlineStr"/>
      <c r="L2586" t="inlineStr"/>
      <c r="M2586" t="inlineStr"/>
      <c r="N2586" t="inlineStr"/>
      <c r="O2586" t="inlineStr"/>
      <c r="P2586" t="inlineStr"/>
      <c r="Q2586" t="inlineStr"/>
    </row>
    <row r="2587">
      <c r="A2587" t="inlineStr">
        <is>
          <t>harish</t>
        </is>
      </c>
      <c r="B2587" t="inlineStr">
        <is>
          <t>Harish</t>
        </is>
      </c>
      <c r="C2587" t="inlineStr">
        <is>
          <t>harish@osmosys.co</t>
        </is>
      </c>
      <c r="D2587" t="inlineStr">
        <is>
          <t>incident-reporter</t>
        </is>
      </c>
      <c r="E2587">
        <f>HYPERLINK("http://gitlab.osmosys.co/incident-reporter/incident-reporter-api", "OQSHA-API")</f>
        <v/>
      </c>
      <c r="F2587">
        <f>HYPERLINK("http://gitlab.osmosys.co/incident-reporter/incident-reporter-api/-/merge_requests/4184", "fix: resolve issue with inspection searching")</f>
        <v/>
      </c>
      <c r="G2587" t="inlineStr">
        <is>
          <t>fix/inspection-search-fix</t>
        </is>
      </c>
      <c r="H2587" t="inlineStr">
        <is>
          <t>sprint-17</t>
        </is>
      </c>
      <c r="I2587" t="inlineStr">
        <is>
          <t>merged</t>
        </is>
      </c>
      <c r="J2587" t="inlineStr"/>
      <c r="K2587" t="inlineStr"/>
      <c r="L2587" t="inlineStr"/>
      <c r="M2587" t="inlineStr"/>
      <c r="N2587" t="inlineStr"/>
      <c r="O2587" t="inlineStr"/>
      <c r="P2587" t="inlineStr"/>
      <c r="Q2587" t="inlineStr"/>
    </row>
    <row r="2588">
      <c r="A2588" t="inlineStr">
        <is>
          <t>harish</t>
        </is>
      </c>
      <c r="B2588" t="inlineStr">
        <is>
          <t>Harish</t>
        </is>
      </c>
      <c r="C2588" t="inlineStr">
        <is>
          <t>harish@osmosys.co</t>
        </is>
      </c>
      <c r="D2588" t="inlineStr">
        <is>
          <t>incident-reporter</t>
        </is>
      </c>
      <c r="E2588">
        <f>HYPERLINK("http://gitlab.osmosys.co/incident-reporter/incident-reporter-api", "OQSHA-API")</f>
        <v/>
      </c>
      <c r="F2588">
        <f>HYPERLINK("http://gitlab.osmosys.co/incident-reporter/incident-reporter-api/-/merge_requests/4181", "fix: add changes to resolve issue with task category crud operations")</f>
        <v/>
      </c>
      <c r="G2588" t="inlineStr">
        <is>
          <t>fix/task-category-issue</t>
        </is>
      </c>
      <c r="H2588" t="inlineStr">
        <is>
          <t>sprint-16_v2</t>
        </is>
      </c>
      <c r="I2588" t="inlineStr">
        <is>
          <t>merged</t>
        </is>
      </c>
      <c r="J2588" t="inlineStr"/>
      <c r="K2588" t="inlineStr"/>
      <c r="L2588" t="inlineStr"/>
      <c r="M2588" t="inlineStr"/>
      <c r="N2588" t="inlineStr"/>
      <c r="O2588" t="inlineStr"/>
      <c r="P2588" t="inlineStr"/>
      <c r="Q2588" t="inlineStr"/>
    </row>
    <row r="2589">
      <c r="A2589" t="inlineStr">
        <is>
          <t>harish</t>
        </is>
      </c>
      <c r="B2589" t="inlineStr">
        <is>
          <t>Harish</t>
        </is>
      </c>
      <c r="C2589" t="inlineStr">
        <is>
          <t>harish@osmosys.co</t>
        </is>
      </c>
      <c r="D2589" t="inlineStr">
        <is>
          <t>incident-reporter</t>
        </is>
      </c>
      <c r="E2589">
        <f>HYPERLINK("http://gitlab.osmosys.co/incident-reporter/incident-reporter-api", "OQSHA-API")</f>
        <v/>
      </c>
      <c r="F2589">
        <f>HYPERLINK("http://gitlab.osmosys.co/incident-reporter/incident-reporter-api/-/merge_requests/4180", "fix: add changes to resolve issue with task category crud operations")</f>
        <v/>
      </c>
      <c r="G2589" t="inlineStr">
        <is>
          <t>fix/task-category</t>
        </is>
      </c>
      <c r="H2589" t="inlineStr">
        <is>
          <t>sprint-17</t>
        </is>
      </c>
      <c r="I2589" t="inlineStr">
        <is>
          <t>merged</t>
        </is>
      </c>
      <c r="J2589" t="inlineStr"/>
      <c r="K2589" t="inlineStr"/>
      <c r="L2589" t="inlineStr"/>
      <c r="M2589" t="inlineStr"/>
      <c r="N2589" t="inlineStr"/>
      <c r="O2589" t="inlineStr"/>
      <c r="P2589" t="inlineStr"/>
      <c r="Q2589" t="inlineStr"/>
    </row>
    <row r="2590">
      <c r="A2590" t="inlineStr">
        <is>
          <t>harish</t>
        </is>
      </c>
      <c r="B2590" t="inlineStr">
        <is>
          <t>Harish</t>
        </is>
      </c>
      <c r="C2590" t="inlineStr">
        <is>
          <t>harish@osmosys.co</t>
        </is>
      </c>
      <c r="D2590" t="inlineStr">
        <is>
          <t>incident-reporter</t>
        </is>
      </c>
      <c r="E2590">
        <f>HYPERLINK("http://gitlab.osmosys.co/incident-reporter/incident-reporter-api", "OQSHA-API")</f>
        <v/>
      </c>
      <c r="F2590">
        <f>HYPERLINK("http://gitlab.osmosys.co/incident-reporter/incident-reporter-api/-/merge_requests/4169", "fix: add null check for audit list api to avoid invalid sql")</f>
        <v/>
      </c>
      <c r="G2590" t="inlineStr">
        <is>
          <t>fix/audit-grid</t>
        </is>
      </c>
      <c r="H2590" t="inlineStr">
        <is>
          <t>sprint-17</t>
        </is>
      </c>
      <c r="I2590" t="inlineStr">
        <is>
          <t>merged</t>
        </is>
      </c>
      <c r="J2590" t="inlineStr"/>
      <c r="K2590" t="inlineStr"/>
      <c r="L2590" t="inlineStr"/>
      <c r="M2590" t="inlineStr"/>
      <c r="N2590" t="inlineStr"/>
      <c r="O2590" t="inlineStr"/>
      <c r="P2590" t="inlineStr"/>
      <c r="Q2590" t="inlineStr"/>
    </row>
    <row r="2591">
      <c r="A2591" t="inlineStr">
        <is>
          <t>harish</t>
        </is>
      </c>
      <c r="B2591" t="inlineStr">
        <is>
          <t>Harish</t>
        </is>
      </c>
      <c r="C2591" t="inlineStr">
        <is>
          <t>harish@osmosys.co</t>
        </is>
      </c>
      <c r="D2591" t="inlineStr">
        <is>
          <t>incident-reporter</t>
        </is>
      </c>
      <c r="E2591">
        <f>HYPERLINK("http://gitlab.osmosys.co/incident-reporter/incident-reporter-api", "OQSHA-API")</f>
        <v/>
      </c>
      <c r="F2591">
        <f>HYPERLINK("http://gitlab.osmosys.co/incident-reporter/incident-reporter-api/-/merge_requests/4168", "fix: add null check for audit list api to avoid invalid sql")</f>
        <v/>
      </c>
      <c r="G2591" t="inlineStr">
        <is>
          <t>fix/audit-grid-fix</t>
        </is>
      </c>
      <c r="H2591" t="inlineStr">
        <is>
          <t>sprint-16_v2</t>
        </is>
      </c>
      <c r="I2591" t="inlineStr">
        <is>
          <t>merged</t>
        </is>
      </c>
      <c r="J2591" t="inlineStr"/>
      <c r="K2591" t="inlineStr"/>
      <c r="L2591" t="inlineStr"/>
      <c r="M2591" t="inlineStr"/>
      <c r="N2591" t="inlineStr"/>
      <c r="O2591" t="inlineStr"/>
      <c r="P2591" t="inlineStr"/>
      <c r="Q2591" t="inlineStr"/>
    </row>
    <row r="2592">
      <c r="A2592" t="inlineStr">
        <is>
          <t>harish</t>
        </is>
      </c>
      <c r="B2592" t="inlineStr">
        <is>
          <t>Harish</t>
        </is>
      </c>
      <c r="C2592" t="inlineStr">
        <is>
          <t>harish@osmosys.co</t>
        </is>
      </c>
      <c r="D2592" t="inlineStr">
        <is>
          <t>incident-reporter</t>
        </is>
      </c>
      <c r="E2592">
        <f>HYPERLINK("http://gitlab.osmosys.co/incident-reporter/incident-reporter-api", "OQSHA-API")</f>
        <v/>
      </c>
      <c r="F2592">
        <f>HYPERLINK("http://gitlab.osmosys.co/incident-reporter/incident-reporter-api/-/merge_requests/4162", "feat: add null check for users before calling repo function")</f>
        <v/>
      </c>
      <c r="G2592" t="inlineStr">
        <is>
          <t>fix/contractor-ticket</t>
        </is>
      </c>
      <c r="H2592" t="inlineStr">
        <is>
          <t>sprint-17</t>
        </is>
      </c>
      <c r="I2592" t="inlineStr">
        <is>
          <t>merged</t>
        </is>
      </c>
      <c r="J2592" t="inlineStr"/>
      <c r="K2592" t="inlineStr"/>
      <c r="L2592" t="inlineStr"/>
      <c r="M2592" t="inlineStr"/>
      <c r="N2592" t="inlineStr"/>
      <c r="O2592" t="inlineStr"/>
      <c r="P2592" t="inlineStr"/>
      <c r="Q2592" t="inlineStr"/>
    </row>
    <row r="2593">
      <c r="A2593" t="inlineStr">
        <is>
          <t>harish</t>
        </is>
      </c>
      <c r="B2593" t="inlineStr">
        <is>
          <t>Harish</t>
        </is>
      </c>
      <c r="C2593" t="inlineStr">
        <is>
          <t>harish@osmosys.co</t>
        </is>
      </c>
      <c r="D2593" t="inlineStr">
        <is>
          <t>incident-reporter</t>
        </is>
      </c>
      <c r="E2593">
        <f>HYPERLINK("http://gitlab.osmosys.co/incident-reporter/incident-reporter-api", "OQSHA-API")</f>
        <v/>
      </c>
      <c r="F2593">
        <f>HYPERLINK("http://gitlab.osmosys.co/incident-reporter/incident-reporter-api/-/merge_requests/4156", "feat: add null check for users before calling repo function")</f>
        <v/>
      </c>
      <c r="G2593" t="inlineStr">
        <is>
          <t>feat/contractor-ticket-issue</t>
        </is>
      </c>
      <c r="H2593" t="inlineStr">
        <is>
          <t>sprint-16_v2</t>
        </is>
      </c>
      <c r="I2593" t="inlineStr">
        <is>
          <t>merged</t>
        </is>
      </c>
      <c r="J2593" t="inlineStr"/>
      <c r="K2593" t="inlineStr"/>
      <c r="L2593" t="inlineStr"/>
      <c r="M2593" t="inlineStr"/>
      <c r="N2593" t="inlineStr"/>
      <c r="O2593" t="inlineStr"/>
      <c r="P2593" t="inlineStr"/>
      <c r="Q2593" t="inlineStr"/>
    </row>
    <row r="2594">
      <c r="A2594" t="inlineStr">
        <is>
          <t>harish</t>
        </is>
      </c>
      <c r="B2594" t="inlineStr">
        <is>
          <t>Harish</t>
        </is>
      </c>
      <c r="C2594" t="inlineStr">
        <is>
          <t>harish@osmosys.co</t>
        </is>
      </c>
      <c r="D2594" t="inlineStr">
        <is>
          <t>incident-reporter</t>
        </is>
      </c>
      <c r="E2594">
        <f>HYPERLINK("http://gitlab.osmosys.co/incident-reporter/incident-reporter-api", "OQSHA-API")</f>
        <v/>
      </c>
      <c r="F2594">
        <f>HYPERLINK("http://gitlab.osmosys.co/incident-reporter/incident-reporter-api/-/merge_requests/4154", "feat: add changes in due date and inspection status for draft status")</f>
        <v/>
      </c>
      <c r="G2594" t="inlineStr">
        <is>
          <t>feat/inspection-due-date</t>
        </is>
      </c>
      <c r="H2594" t="inlineStr">
        <is>
          <t>sprint-17</t>
        </is>
      </c>
      <c r="I2594" t="inlineStr">
        <is>
          <t>merged</t>
        </is>
      </c>
      <c r="J2594" t="inlineStr"/>
      <c r="K2594" t="inlineStr"/>
      <c r="L2594" t="inlineStr"/>
      <c r="M2594" t="inlineStr"/>
      <c r="N2594" t="inlineStr"/>
      <c r="O2594" t="inlineStr"/>
      <c r="P2594" t="inlineStr"/>
      <c r="Q2594" t="inlineStr"/>
    </row>
    <row r="2595">
      <c r="A2595" t="inlineStr">
        <is>
          <t>harish</t>
        </is>
      </c>
      <c r="B2595" t="inlineStr">
        <is>
          <t>Harish</t>
        </is>
      </c>
      <c r="C2595" t="inlineStr">
        <is>
          <t>harish@osmosys.co</t>
        </is>
      </c>
      <c r="D2595" t="inlineStr">
        <is>
          <t>incident-reporter</t>
        </is>
      </c>
      <c r="E2595">
        <f>HYPERLINK("http://gitlab.osmosys.co/incident-reporter/incident-reporter-api", "OQSHA-API")</f>
        <v/>
      </c>
      <c r="F2595">
        <f>HYPERLINK("http://gitlab.osmosys.co/incident-reporter/incident-reporter-api/-/merge_requests/4142", "fix: update api that fetch category based on module")</f>
        <v/>
      </c>
      <c r="G2595" t="inlineStr">
        <is>
          <t>fix/asset-category-response</t>
        </is>
      </c>
      <c r="H2595" t="inlineStr">
        <is>
          <t>sprint-17</t>
        </is>
      </c>
      <c r="I2595" t="inlineStr">
        <is>
          <t>merged</t>
        </is>
      </c>
      <c r="J2595" t="inlineStr">
        <is>
          <t>d6affb313011e59c2821e384df4766c79ccc0206</t>
        </is>
      </c>
      <c r="K2595">
        <f>HYPERLINK("http://gitlab.osmosys.co/incident-reporter/incident-reporter-api/-/merge_requests/4142#note_235759", "remove AcmModuleInspection, make sure to update its usage everywhere.
update AcmModuleAppInspection to AcmModuleAppInspections &amp; its value, every where")</f>
        <v/>
      </c>
      <c r="L2595" t="inlineStr">
        <is>
          <t>2025-07-14 11:11:42.341 IST</t>
        </is>
      </c>
      <c r="M2595" t="inlineStr">
        <is>
          <t>Sindhusha</t>
        </is>
      </c>
      <c r="N2595" t="inlineStr">
        <is>
          <t>Yes</t>
        </is>
      </c>
      <c r="O2595" t="inlineStr">
        <is>
          <t>Yes</t>
        </is>
      </c>
      <c r="P2595" t="inlineStr">
        <is>
          <t>Sindhusha</t>
        </is>
      </c>
      <c r="Q2595" t="inlineStr">
        <is>
          <t>Bad</t>
        </is>
      </c>
    </row>
    <row r="2596">
      <c r="A2596" t="inlineStr">
        <is>
          <t>harish</t>
        </is>
      </c>
      <c r="B2596" t="inlineStr">
        <is>
          <t>Harish</t>
        </is>
      </c>
      <c r="C2596" t="inlineStr">
        <is>
          <t>harish@osmosys.co</t>
        </is>
      </c>
      <c r="D2596" t="inlineStr">
        <is>
          <t>incident-reporter</t>
        </is>
      </c>
      <c r="E2596">
        <f>HYPERLINK("http://gitlab.osmosys.co/incident-reporter/incident-reporter-api", "OQSHA-API")</f>
        <v/>
      </c>
      <c r="F2596">
        <f>HYPERLINK("http://gitlab.osmosys.co/incident-reporter/incident-reporter-api/-/merge_requests/4142", "fix: update api that fetch category based on module")</f>
        <v/>
      </c>
      <c r="G2596" t="inlineStr">
        <is>
          <t>fix/asset-category-response</t>
        </is>
      </c>
      <c r="H2596" t="inlineStr">
        <is>
          <t>sprint-17</t>
        </is>
      </c>
      <c r="I2596" t="inlineStr">
        <is>
          <t>merged</t>
        </is>
      </c>
      <c r="J2596" t="inlineStr">
        <is>
          <t>d6affb313011e59c2821e384df4766c79ccc0206</t>
        </is>
      </c>
      <c r="K2596">
        <f>HYPERLINK("http://gitlab.osmosys.co/incident-reporter/incident-reporter-api/-/merge_requests/4142#note_235766", "It was being used for acm module defination - these migration were already present in prod 
Updated to use the newly defined constant for module Name - also removed the AcmModuleInspection constant")</f>
        <v/>
      </c>
      <c r="L2596" t="inlineStr">
        <is>
          <t>2025-07-14 11:20:43.880 IST</t>
        </is>
      </c>
      <c r="M2596" t="inlineStr">
        <is>
          <t>Harish</t>
        </is>
      </c>
      <c r="N2596" t="inlineStr">
        <is>
          <t>No</t>
        </is>
      </c>
      <c r="O2596" t="inlineStr">
        <is>
          <t>Yes</t>
        </is>
      </c>
      <c r="P2596" t="inlineStr">
        <is>
          <t>Sindhusha</t>
        </is>
      </c>
      <c r="Q2596" t="inlineStr">
        <is>
          <t>Bad</t>
        </is>
      </c>
    </row>
    <row r="2597">
      <c r="A2597" t="inlineStr">
        <is>
          <t>harish</t>
        </is>
      </c>
      <c r="B2597" t="inlineStr">
        <is>
          <t>Harish</t>
        </is>
      </c>
      <c r="C2597" t="inlineStr">
        <is>
          <t>harish@osmosys.co</t>
        </is>
      </c>
      <c r="D2597" t="inlineStr">
        <is>
          <t>incident-reporter</t>
        </is>
      </c>
      <c r="E2597">
        <f>HYPERLINK("http://gitlab.osmosys.co/incident-reporter/incident-reporter-api", "OQSHA-API")</f>
        <v/>
      </c>
      <c r="F2597">
        <f>HYPERLINK("http://gitlab.osmosys.co/incident-reporter/incident-reporter-api/-/merge_requests/4128", "feat: improve notification for inspections")</f>
        <v/>
      </c>
      <c r="G2597" t="inlineStr">
        <is>
          <t>feat/notification-assigned-to</t>
        </is>
      </c>
      <c r="H2597" t="inlineStr">
        <is>
          <t>sprint-17</t>
        </is>
      </c>
      <c r="I2597" t="inlineStr">
        <is>
          <t>merged</t>
        </is>
      </c>
      <c r="J2597" t="inlineStr"/>
      <c r="K2597" t="inlineStr"/>
      <c r="L2597" t="inlineStr"/>
      <c r="M2597" t="inlineStr"/>
      <c r="N2597" t="inlineStr"/>
      <c r="O2597" t="inlineStr"/>
      <c r="P2597" t="inlineStr"/>
      <c r="Q2597" t="inlineStr"/>
    </row>
    <row r="2598">
      <c r="A2598" t="inlineStr">
        <is>
          <t>harish</t>
        </is>
      </c>
      <c r="B2598" t="inlineStr">
        <is>
          <t>Harish</t>
        </is>
      </c>
      <c r="C2598" t="inlineStr">
        <is>
          <t>harish@osmosys.co</t>
        </is>
      </c>
      <c r="D2598" t="inlineStr">
        <is>
          <t>incident-reporter</t>
        </is>
      </c>
      <c r="E2598">
        <f>HYPERLINK("http://gitlab.osmosys.co/incident-reporter/incident-reporter-api", "OQSHA-API")</f>
        <v/>
      </c>
      <c r="F2598">
        <f>HYPERLINK("http://gitlab.osmosys.co/incident-reporter/incident-reporter-api/-/merge_requests/4127", "feat: remove inspection status requirement during draft save status")</f>
        <v/>
      </c>
      <c r="G2598" t="inlineStr">
        <is>
          <t>fix/update-inspection</t>
        </is>
      </c>
      <c r="H2598" t="inlineStr">
        <is>
          <t>sprint-17</t>
        </is>
      </c>
      <c r="I2598" t="inlineStr">
        <is>
          <t>merged</t>
        </is>
      </c>
      <c r="J2598" t="inlineStr"/>
      <c r="K2598" t="inlineStr"/>
      <c r="L2598" t="inlineStr"/>
      <c r="M2598" t="inlineStr"/>
      <c r="N2598" t="inlineStr"/>
      <c r="O2598" t="inlineStr"/>
      <c r="P2598" t="inlineStr"/>
      <c r="Q2598" t="inlineStr"/>
    </row>
    <row r="2599">
      <c r="A2599" t="inlineStr">
        <is>
          <t>harish</t>
        </is>
      </c>
      <c r="B2599" t="inlineStr">
        <is>
          <t>Harish</t>
        </is>
      </c>
      <c r="C2599" t="inlineStr">
        <is>
          <t>harish@osmosys.co</t>
        </is>
      </c>
      <c r="D2599" t="inlineStr">
        <is>
          <t>incident-reporter</t>
        </is>
      </c>
      <c r="E2599">
        <f>HYPERLINK("http://gitlab.osmosys.co/incident-reporter/incident-reporter-api", "OQSHA-API")</f>
        <v/>
      </c>
      <c r="F2599">
        <f>HYPERLINK("http://gitlab.osmosys.co/incident-reporter/incident-reporter-api/-/merge_requests/4121", "feat: add fluent migration for inspection planned status")</f>
        <v/>
      </c>
      <c r="G2599" t="inlineStr">
        <is>
          <t>feat/fluent-migration-inspection</t>
        </is>
      </c>
      <c r="H2599" t="inlineStr">
        <is>
          <t>sprint-17</t>
        </is>
      </c>
      <c r="I2599" t="inlineStr">
        <is>
          <t>merged</t>
        </is>
      </c>
      <c r="J2599" t="inlineStr"/>
      <c r="K2599" t="inlineStr"/>
      <c r="L2599" t="inlineStr"/>
      <c r="M2599" t="inlineStr"/>
      <c r="N2599" t="inlineStr"/>
      <c r="O2599" t="inlineStr"/>
      <c r="P2599" t="inlineStr"/>
      <c r="Q2599" t="inlineStr"/>
    </row>
    <row r="2600">
      <c r="A2600" t="inlineStr">
        <is>
          <t>harish</t>
        </is>
      </c>
      <c r="B2600" t="inlineStr">
        <is>
          <t>Harish</t>
        </is>
      </c>
      <c r="C2600" t="inlineStr">
        <is>
          <t>harish@osmosys.co</t>
        </is>
      </c>
      <c r="D2600" t="inlineStr">
        <is>
          <t>incident-reporter</t>
        </is>
      </c>
      <c r="E2600">
        <f>HYPERLINK("http://gitlab.osmosys.co/incident-reporter/incident-reporter-api", "OQSHA-API")</f>
        <v/>
      </c>
      <c r="F2600">
        <f>HYPERLINK("http://gitlab.osmosys.co/incident-reporter/incident-reporter-api/-/merge_requests/4119", "fix: sort get all user dashboard preferences api alphabetically")</f>
        <v/>
      </c>
      <c r="G2600" t="inlineStr">
        <is>
          <t>fix/update-sorting-dashboard</t>
        </is>
      </c>
      <c r="H2600" t="inlineStr">
        <is>
          <t>sprint-17</t>
        </is>
      </c>
      <c r="I2600" t="inlineStr">
        <is>
          <t>merged</t>
        </is>
      </c>
      <c r="J2600" t="inlineStr"/>
      <c r="K2600" t="inlineStr"/>
      <c r="L2600" t="inlineStr"/>
      <c r="M2600" t="inlineStr"/>
      <c r="N2600" t="inlineStr"/>
      <c r="O2600" t="inlineStr"/>
      <c r="P2600" t="inlineStr"/>
      <c r="Q2600" t="inlineStr"/>
    </row>
    <row r="2601">
      <c r="A2601" t="inlineStr">
        <is>
          <t>harish</t>
        </is>
      </c>
      <c r="B2601" t="inlineStr">
        <is>
          <t>Harish</t>
        </is>
      </c>
      <c r="C2601" t="inlineStr">
        <is>
          <t>harish@osmosys.co</t>
        </is>
      </c>
      <c r="D2601" t="inlineStr">
        <is>
          <t>incident-reporter</t>
        </is>
      </c>
      <c r="E2601">
        <f>HYPERLINK("http://gitlab.osmosys.co/incident-reporter/incident-reporter-api", "OQSHA-API")</f>
        <v/>
      </c>
      <c r="F2601">
        <f>HYPERLINK("http://gitlab.osmosys.co/incident-reporter/incident-reporter-api/-/merge_requests/4115", "feat: add changes to include planned status")</f>
        <v/>
      </c>
      <c r="G2601" t="inlineStr">
        <is>
          <t>feat/inspection-status-change</t>
        </is>
      </c>
      <c r="H2601" t="inlineStr">
        <is>
          <t>sprint-17</t>
        </is>
      </c>
      <c r="I2601" t="inlineStr">
        <is>
          <t>merged</t>
        </is>
      </c>
      <c r="J2601" t="inlineStr"/>
      <c r="K2601" t="inlineStr"/>
      <c r="L2601" t="inlineStr"/>
      <c r="M2601" t="inlineStr"/>
      <c r="N2601" t="inlineStr"/>
      <c r="O2601" t="inlineStr"/>
      <c r="P2601" t="inlineStr"/>
      <c r="Q2601" t="inlineStr"/>
    </row>
    <row r="2602">
      <c r="A2602" t="inlineStr">
        <is>
          <t>harish</t>
        </is>
      </c>
      <c r="B2602" t="inlineStr">
        <is>
          <t>Harish</t>
        </is>
      </c>
      <c r="C2602" t="inlineStr">
        <is>
          <t>harish@osmosys.co</t>
        </is>
      </c>
      <c r="D2602" t="inlineStr">
        <is>
          <t>incident-reporter</t>
        </is>
      </c>
      <c r="E2602">
        <f>HYPERLINK("http://gitlab.osmosys.co/incident-reporter/incident-reporter-api", "OQSHA-API")</f>
        <v/>
      </c>
      <c r="F2602">
        <f>HYPERLINK("http://gitlab.osmosys.co/incident-reporter/incident-reporter-api/-/merge_requests/4107", "feat: add changes for user dashboard feature")</f>
        <v/>
      </c>
      <c r="G2602" t="inlineStr">
        <is>
          <t>feat/user-dashboard-preferences</t>
        </is>
      </c>
      <c r="H2602" t="inlineStr">
        <is>
          <t>sprint-17</t>
        </is>
      </c>
      <c r="I2602" t="inlineStr">
        <is>
          <t>merged</t>
        </is>
      </c>
      <c r="J2602" t="inlineStr"/>
      <c r="K2602" t="inlineStr"/>
      <c r="L2602" t="inlineStr"/>
      <c r="M2602" t="inlineStr"/>
      <c r="N2602" t="inlineStr"/>
      <c r="O2602" t="inlineStr"/>
      <c r="P2602" t="inlineStr"/>
      <c r="Q2602" t="inlineStr"/>
    </row>
    <row r="2603">
      <c r="A2603" t="inlineStr">
        <is>
          <t>harish</t>
        </is>
      </c>
      <c r="B2603" t="inlineStr">
        <is>
          <t>Harish</t>
        </is>
      </c>
      <c r="C2603" t="inlineStr">
        <is>
          <t>harish@osmosys.co</t>
        </is>
      </c>
      <c r="D2603" t="inlineStr">
        <is>
          <t>incident-reporter</t>
        </is>
      </c>
      <c r="E2603">
        <f>HYPERLINK("http://gitlab.osmosys.co/incident-reporter/incident-reporter-api", "OQSHA-API")</f>
        <v/>
      </c>
      <c r="F2603">
        <f>HYPERLINK("http://gitlab.osmosys.co/incident-reporter/incident-reporter-api/-/merge_requests/4104", "feat: add change to update user consent records")</f>
        <v/>
      </c>
      <c r="G2603" t="inlineStr">
        <is>
          <t>feat/user-consent-changes</t>
        </is>
      </c>
      <c r="H2603" t="inlineStr">
        <is>
          <t>sprint-18</t>
        </is>
      </c>
      <c r="I2603" t="inlineStr">
        <is>
          <t>merged</t>
        </is>
      </c>
      <c r="J2603" t="inlineStr">
        <is>
          <t>d9d9618295223224de4c73d38f76ff786be776bd</t>
        </is>
      </c>
      <c r="K2603">
        <f>HYPERLINK("http://gitlab.osmosys.co/incident-reporter/incident-reporter-api/-/merge_requests/4104#note_240127", "Log the consent approval action as `Info` log type. Avoid logging any personal details of the user. Log the userId and orgId.")</f>
        <v/>
      </c>
      <c r="L2603" t="inlineStr">
        <is>
          <t>2025-07-22 13:03:00.019 IST</t>
        </is>
      </c>
      <c r="M2603" t="inlineStr">
        <is>
          <t>Sameer Shaik</t>
        </is>
      </c>
      <c r="N2603" t="inlineStr">
        <is>
          <t>Yes</t>
        </is>
      </c>
      <c r="O2603" t="inlineStr">
        <is>
          <t>Yes</t>
        </is>
      </c>
      <c r="P2603" t="inlineStr">
        <is>
          <t>Sameer Shaik</t>
        </is>
      </c>
      <c r="Q2603" t="inlineStr">
        <is>
          <t>Bad</t>
        </is>
      </c>
    </row>
    <row r="2604">
      <c r="A2604" t="inlineStr">
        <is>
          <t>harish</t>
        </is>
      </c>
      <c r="B2604" t="inlineStr">
        <is>
          <t>Harish</t>
        </is>
      </c>
      <c r="C2604" t="inlineStr">
        <is>
          <t>harish@osmosys.co</t>
        </is>
      </c>
      <c r="D2604" t="inlineStr">
        <is>
          <t>incident-reporter</t>
        </is>
      </c>
      <c r="E2604">
        <f>HYPERLINK("http://gitlab.osmosys.co/incident-reporter/incident-reporter-api", "OQSHA-API")</f>
        <v/>
      </c>
      <c r="F2604">
        <f>HYPERLINK("http://gitlab.osmosys.co/incident-reporter/incident-reporter-api/-/merge_requests/4104", "feat: add change to update user consent records")</f>
        <v/>
      </c>
      <c r="G2604" t="inlineStr">
        <is>
          <t>feat/user-consent-changes</t>
        </is>
      </c>
      <c r="H2604" t="inlineStr">
        <is>
          <t>sprint-18</t>
        </is>
      </c>
      <c r="I2604" t="inlineStr">
        <is>
          <t>merged</t>
        </is>
      </c>
      <c r="J2604" t="inlineStr">
        <is>
          <t>d9d9618295223224de4c73d38f76ff786be776bd</t>
        </is>
      </c>
      <c r="K2604">
        <f>HYPERLINK("http://gitlab.osmosys.co/incident-reporter/incident-reporter-api/-/merge_requests/4104#note_240249", "Done")</f>
        <v/>
      </c>
      <c r="L2604" t="inlineStr">
        <is>
          <t>2025-07-22 15:46:14.161 IST</t>
        </is>
      </c>
      <c r="M2604" t="inlineStr">
        <is>
          <t>Harish</t>
        </is>
      </c>
      <c r="N2604" t="inlineStr">
        <is>
          <t>No</t>
        </is>
      </c>
      <c r="O2604" t="inlineStr">
        <is>
          <t>Yes</t>
        </is>
      </c>
      <c r="P2604" t="inlineStr">
        <is>
          <t>Sameer Shaik</t>
        </is>
      </c>
      <c r="Q2604" t="inlineStr">
        <is>
          <t>Bad</t>
        </is>
      </c>
    </row>
    <row r="2605">
      <c r="A2605" t="inlineStr">
        <is>
          <t>harish</t>
        </is>
      </c>
      <c r="B2605" t="inlineStr">
        <is>
          <t>Harish</t>
        </is>
      </c>
      <c r="C2605" t="inlineStr">
        <is>
          <t>harish@osmosys.co</t>
        </is>
      </c>
      <c r="D2605" t="inlineStr">
        <is>
          <t>incident-reporter</t>
        </is>
      </c>
      <c r="E2605">
        <f>HYPERLINK("http://gitlab.osmosys.co/incident-reporter/incident-reporter-api", "OQSHA-API")</f>
        <v/>
      </c>
      <c r="F2605">
        <f>HYPERLINK("http://gitlab.osmosys.co/incident-reporter/incident-reporter-api/-/merge_requests/4104", "feat: add change to update user consent records")</f>
        <v/>
      </c>
      <c r="G2605" t="inlineStr">
        <is>
          <t>feat/user-consent-changes</t>
        </is>
      </c>
      <c r="H2605" t="inlineStr">
        <is>
          <t>sprint-18</t>
        </is>
      </c>
      <c r="I2605" t="inlineStr">
        <is>
          <t>merged</t>
        </is>
      </c>
      <c r="J2605" t="inlineStr">
        <is>
          <t>3d257d2b42b8455ae7396586da42cd296899cf19</t>
        </is>
      </c>
      <c r="K2605">
        <f>HYPERLINK("http://gitlab.osmosys.co/incident-reporter/incident-reporter-api/-/merge_requests/4104#note_240128", "Why is this action a part of WhatsappBLL? Whatsapp BLL should only be responsible to deal with actions related to action. But here, a user record is getting active.
This action should be done by the method/function that is using this WhatsappBLL.")</f>
        <v/>
      </c>
      <c r="L2605" t="inlineStr">
        <is>
          <t>2025-07-22 13:03:00.127 IST</t>
        </is>
      </c>
      <c r="M2605" t="inlineStr">
        <is>
          <t>Sameer Shaik</t>
        </is>
      </c>
      <c r="N2605" t="inlineStr">
        <is>
          <t>Yes</t>
        </is>
      </c>
      <c r="O2605" t="inlineStr">
        <is>
          <t>Yes</t>
        </is>
      </c>
      <c r="P2605" t="inlineStr">
        <is>
          <t>Sameer Shaik</t>
        </is>
      </c>
      <c r="Q2605" t="inlineStr">
        <is>
          <t>Neutral</t>
        </is>
      </c>
    </row>
    <row r="2606">
      <c r="A2606" t="inlineStr">
        <is>
          <t>harish</t>
        </is>
      </c>
      <c r="B2606" t="inlineStr">
        <is>
          <t>Harish</t>
        </is>
      </c>
      <c r="C2606" t="inlineStr">
        <is>
          <t>harish@osmosys.co</t>
        </is>
      </c>
      <c r="D2606" t="inlineStr">
        <is>
          <t>incident-reporter</t>
        </is>
      </c>
      <c r="E2606">
        <f>HYPERLINK("http://gitlab.osmosys.co/incident-reporter/incident-reporter-api", "OQSHA-API")</f>
        <v/>
      </c>
      <c r="F2606">
        <f>HYPERLINK("http://gitlab.osmosys.co/incident-reporter/incident-reporter-api/-/merge_requests/4104", "feat: add change to update user consent records")</f>
        <v/>
      </c>
      <c r="G2606" t="inlineStr">
        <is>
          <t>feat/user-consent-changes</t>
        </is>
      </c>
      <c r="H2606" t="inlineStr">
        <is>
          <t>sprint-18</t>
        </is>
      </c>
      <c r="I2606" t="inlineStr">
        <is>
          <t>merged</t>
        </is>
      </c>
      <c r="J2606" t="inlineStr">
        <is>
          <t>3d257d2b42b8455ae7396586da42cd296899cf19</t>
        </is>
      </c>
      <c r="K2606">
        <f>HYPERLINK("http://gitlab.osmosys.co/incident-reporter/incident-reporter-api/-/merge_requests/4104#note_240300", "this have action related to whatsapp bll only - here we getting the approved status and upating the record in the consent table")</f>
        <v/>
      </c>
      <c r="L2606" t="inlineStr">
        <is>
          <t>2025-07-22 16:07:33.425 IST</t>
        </is>
      </c>
      <c r="M2606" t="inlineStr">
        <is>
          <t>Harish</t>
        </is>
      </c>
      <c r="N2606" t="inlineStr">
        <is>
          <t>No</t>
        </is>
      </c>
      <c r="O2606" t="inlineStr">
        <is>
          <t>Yes</t>
        </is>
      </c>
      <c r="P2606" t="inlineStr">
        <is>
          <t>Sameer Shaik</t>
        </is>
      </c>
      <c r="Q2606" t="inlineStr">
        <is>
          <t>Neutral</t>
        </is>
      </c>
    </row>
    <row r="2607">
      <c r="A2607" t="inlineStr">
        <is>
          <t>harish</t>
        </is>
      </c>
      <c r="B2607" t="inlineStr">
        <is>
          <t>Harish</t>
        </is>
      </c>
      <c r="C2607" t="inlineStr">
        <is>
          <t>harish@osmosys.co</t>
        </is>
      </c>
      <c r="D2607" t="inlineStr">
        <is>
          <t>incident-reporter</t>
        </is>
      </c>
      <c r="E2607">
        <f>HYPERLINK("http://gitlab.osmosys.co/incident-reporter/incident-reporter-api", "OQSHA-API")</f>
        <v/>
      </c>
      <c r="F2607">
        <f>HYPERLINK("http://gitlab.osmosys.co/incident-reporter/incident-reporter-api/-/merge_requests/4104", "feat: add change to update user consent records")</f>
        <v/>
      </c>
      <c r="G2607" t="inlineStr">
        <is>
          <t>feat/user-consent-changes</t>
        </is>
      </c>
      <c r="H2607" t="inlineStr">
        <is>
          <t>sprint-18</t>
        </is>
      </c>
      <c r="I2607" t="inlineStr">
        <is>
          <t>merged</t>
        </is>
      </c>
      <c r="J2607" t="inlineStr">
        <is>
          <t>3c7ba7b946e95a318301b3dd1cb28fccd5716dcd</t>
        </is>
      </c>
      <c r="K2607">
        <f>HYPERLINK("http://gitlab.osmosys.co/incident-reporter/incident-reporter-api/-/merge_requests/4104#note_240129", "Do you need all these columns? Avoid fetching columns unnecessarily.")</f>
        <v/>
      </c>
      <c r="L2607" t="inlineStr">
        <is>
          <t>2025-07-22 13:03:00.236 IST</t>
        </is>
      </c>
      <c r="M2607" t="inlineStr">
        <is>
          <t>Sameer Shaik</t>
        </is>
      </c>
      <c r="N2607" t="inlineStr">
        <is>
          <t>Yes</t>
        </is>
      </c>
      <c r="O2607" t="inlineStr">
        <is>
          <t>Yes</t>
        </is>
      </c>
      <c r="P2607" t="inlineStr">
        <is>
          <t>Sameer Shaik</t>
        </is>
      </c>
      <c r="Q2607" t="inlineStr">
        <is>
          <t>Neutral</t>
        </is>
      </c>
    </row>
    <row r="2608">
      <c r="A2608" t="inlineStr">
        <is>
          <t>harish</t>
        </is>
      </c>
      <c r="B2608" t="inlineStr">
        <is>
          <t>Harish</t>
        </is>
      </c>
      <c r="C2608" t="inlineStr">
        <is>
          <t>harish@osmosys.co</t>
        </is>
      </c>
      <c r="D2608" t="inlineStr">
        <is>
          <t>incident-reporter</t>
        </is>
      </c>
      <c r="E2608">
        <f>HYPERLINK("http://gitlab.osmosys.co/incident-reporter/incident-reporter-api", "OQSHA-API")</f>
        <v/>
      </c>
      <c r="F2608">
        <f>HYPERLINK("http://gitlab.osmosys.co/incident-reporter/incident-reporter-api/-/merge_requests/4104", "feat: add change to update user consent records")</f>
        <v/>
      </c>
      <c r="G2608" t="inlineStr">
        <is>
          <t>feat/user-consent-changes</t>
        </is>
      </c>
      <c r="H2608" t="inlineStr">
        <is>
          <t>sprint-18</t>
        </is>
      </c>
      <c r="I2608" t="inlineStr">
        <is>
          <t>merged</t>
        </is>
      </c>
      <c r="J2608" t="inlineStr">
        <is>
          <t>3c7ba7b946e95a318301b3dd1cb28fccd5716dcd</t>
        </is>
      </c>
      <c r="K2608">
        <f>HYPERLINK("http://gitlab.osmosys.co/incident-reporter/incident-reporter-api/-/merge_requests/4104#note_240248", "This is for the UI - so providing all the fields")</f>
        <v/>
      </c>
      <c r="L2608" t="inlineStr">
        <is>
          <t>2025-07-22 15:46:09.375 IST</t>
        </is>
      </c>
      <c r="M2608" t="inlineStr">
        <is>
          <t>Harish</t>
        </is>
      </c>
      <c r="N2608" t="inlineStr">
        <is>
          <t>No</t>
        </is>
      </c>
      <c r="O2608" t="inlineStr">
        <is>
          <t>Yes</t>
        </is>
      </c>
      <c r="P2608" t="inlineStr">
        <is>
          <t>Sameer Shaik</t>
        </is>
      </c>
      <c r="Q2608" t="inlineStr">
        <is>
          <t>Neutral</t>
        </is>
      </c>
    </row>
    <row r="2609">
      <c r="A2609" t="inlineStr">
        <is>
          <t>harish</t>
        </is>
      </c>
      <c r="B2609" t="inlineStr">
        <is>
          <t>Harish</t>
        </is>
      </c>
      <c r="C2609" t="inlineStr">
        <is>
          <t>harish@osmosys.co</t>
        </is>
      </c>
      <c r="D2609" t="inlineStr">
        <is>
          <t>incident-reporter</t>
        </is>
      </c>
      <c r="E2609">
        <f>HYPERLINK("http://gitlab.osmosys.co/incident-reporter/incident-reporter-api", "OQSHA-API")</f>
        <v/>
      </c>
      <c r="F2609">
        <f>HYPERLINK("http://gitlab.osmosys.co/incident-reporter/incident-reporter-api/-/merge_requests/4104", "feat: add change to update user consent records")</f>
        <v/>
      </c>
      <c r="G2609" t="inlineStr">
        <is>
          <t>feat/user-consent-changes</t>
        </is>
      </c>
      <c r="H2609" t="inlineStr">
        <is>
          <t>sprint-18</t>
        </is>
      </c>
      <c r="I2609" t="inlineStr">
        <is>
          <t>merged</t>
        </is>
      </c>
      <c r="J2609" t="inlineStr">
        <is>
          <t>1d55800918e84815f1464e5afbfd4002844ee123</t>
        </is>
      </c>
      <c r="K2609">
        <f>HYPERLINK("http://gitlab.osmosys.co/incident-reporter/incident-reporter-api/-/merge_requests/4104#note_240130", "Is the table indexed for searching the table by token optimally? This query may cause significant performance issues when the record volume is very high.
Also, why search it only by token, why not search by UserId and token?")</f>
        <v/>
      </c>
      <c r="L2609" t="inlineStr">
        <is>
          <t>2025-07-22 13:03:00.287 IST</t>
        </is>
      </c>
      <c r="M2609" t="inlineStr">
        <is>
          <t>Sameer Shaik</t>
        </is>
      </c>
      <c r="N2609" t="inlineStr">
        <is>
          <t>Yes</t>
        </is>
      </c>
      <c r="O2609" t="inlineStr">
        <is>
          <t>Yes</t>
        </is>
      </c>
      <c r="P2609" t="inlineStr">
        <is>
          <t>Sameer Shaik</t>
        </is>
      </c>
      <c r="Q2609" t="inlineStr">
        <is>
          <t>Bad</t>
        </is>
      </c>
    </row>
    <row r="2610">
      <c r="A2610" t="inlineStr">
        <is>
          <t>harish</t>
        </is>
      </c>
      <c r="B2610" t="inlineStr">
        <is>
          <t>Harish</t>
        </is>
      </c>
      <c r="C2610" t="inlineStr">
        <is>
          <t>harish@osmosys.co</t>
        </is>
      </c>
      <c r="D2610" t="inlineStr">
        <is>
          <t>incident-reporter</t>
        </is>
      </c>
      <c r="E2610">
        <f>HYPERLINK("http://gitlab.osmosys.co/incident-reporter/incident-reporter-api", "OQSHA-API")</f>
        <v/>
      </c>
      <c r="F2610">
        <f>HYPERLINK("http://gitlab.osmosys.co/incident-reporter/incident-reporter-api/-/merge_requests/4104", "feat: add change to update user consent records")</f>
        <v/>
      </c>
      <c r="G2610" t="inlineStr">
        <is>
          <t>feat/user-consent-changes</t>
        </is>
      </c>
      <c r="H2610" t="inlineStr">
        <is>
          <t>sprint-18</t>
        </is>
      </c>
      <c r="I2610" t="inlineStr">
        <is>
          <t>merged</t>
        </is>
      </c>
      <c r="J2610" t="inlineStr">
        <is>
          <t>1d55800918e84815f1464e5afbfd4002844ee123</t>
        </is>
      </c>
      <c r="K2610">
        <f>HYPERLINK("http://gitlab.osmosys.co/incident-reporter/incident-reporter-api/-/merge_requests/4104#note_240301", "We have access to only token when we click on the button on the email - so can use that only to identify the record 
Have added index on referenceId on this table")</f>
        <v/>
      </c>
      <c r="L2610" t="inlineStr">
        <is>
          <t>2025-07-22 16:08:26.503 IST</t>
        </is>
      </c>
      <c r="M2610" t="inlineStr">
        <is>
          <t>Harish</t>
        </is>
      </c>
      <c r="N2610" t="inlineStr">
        <is>
          <t>No</t>
        </is>
      </c>
      <c r="O2610" t="inlineStr">
        <is>
          <t>Yes</t>
        </is>
      </c>
      <c r="P2610" t="inlineStr">
        <is>
          <t>Sameer Shaik</t>
        </is>
      </c>
      <c r="Q2610" t="inlineStr">
        <is>
          <t>Bad</t>
        </is>
      </c>
    </row>
    <row r="2611">
      <c r="A2611" t="inlineStr">
        <is>
          <t>harish</t>
        </is>
      </c>
      <c r="B2611" t="inlineStr">
        <is>
          <t>Harish</t>
        </is>
      </c>
      <c r="C2611" t="inlineStr">
        <is>
          <t>harish@osmosys.co</t>
        </is>
      </c>
      <c r="D2611" t="inlineStr">
        <is>
          <t>incident-reporter</t>
        </is>
      </c>
      <c r="E2611">
        <f>HYPERLINK("http://gitlab.osmosys.co/incident-reporter/incident-reporter-api", "OQSHA-API")</f>
        <v/>
      </c>
      <c r="F2611">
        <f>HYPERLINK("http://gitlab.osmosys.co/incident-reporter/incident-reporter-api/-/merge_requests/4104", "feat: add change to update user consent records")</f>
        <v/>
      </c>
      <c r="G2611" t="inlineStr">
        <is>
          <t>feat/user-consent-changes</t>
        </is>
      </c>
      <c r="H2611" t="inlineStr">
        <is>
          <t>sprint-18</t>
        </is>
      </c>
      <c r="I2611" t="inlineStr">
        <is>
          <t>merged</t>
        </is>
      </c>
      <c r="J2611" t="inlineStr">
        <is>
          <t>79071d13781b9df2ace021c605a370489e0466a2</t>
        </is>
      </c>
      <c r="K2611">
        <f>HYPERLINK("http://gitlab.osmosys.co/incident-reporter/incident-reporter-api/-/merge_requests/4104#note_240131", "Why is this method that is complete unrelated to Whatsapp in Whatsapp Repo?")</f>
        <v/>
      </c>
      <c r="L2611" t="inlineStr">
        <is>
          <t>2025-07-22 13:03:00.378 IST</t>
        </is>
      </c>
      <c r="M2611" t="inlineStr">
        <is>
          <t>Sameer Shaik</t>
        </is>
      </c>
      <c r="N2611" t="inlineStr">
        <is>
          <t>Yes</t>
        </is>
      </c>
      <c r="O2611" t="inlineStr">
        <is>
          <t>Yes</t>
        </is>
      </c>
      <c r="P2611" t="inlineStr">
        <is>
          <t>Sameer Shaik</t>
        </is>
      </c>
      <c r="Q2611" t="inlineStr">
        <is>
          <t>Bad</t>
        </is>
      </c>
    </row>
    <row r="2612">
      <c r="A2612" t="inlineStr">
        <is>
          <t>harish</t>
        </is>
      </c>
      <c r="B2612" t="inlineStr">
        <is>
          <t>Harish</t>
        </is>
      </c>
      <c r="C2612" t="inlineStr">
        <is>
          <t>harish@osmosys.co</t>
        </is>
      </c>
      <c r="D2612" t="inlineStr">
        <is>
          <t>incident-reporter</t>
        </is>
      </c>
      <c r="E2612">
        <f>HYPERLINK("http://gitlab.osmosys.co/incident-reporter/incident-reporter-api", "OQSHA-API")</f>
        <v/>
      </c>
      <c r="F2612">
        <f>HYPERLINK("http://gitlab.osmosys.co/incident-reporter/incident-reporter-api/-/merge_requests/4104", "feat: add change to update user consent records")</f>
        <v/>
      </c>
      <c r="G2612" t="inlineStr">
        <is>
          <t>feat/user-consent-changes</t>
        </is>
      </c>
      <c r="H2612" t="inlineStr">
        <is>
          <t>sprint-18</t>
        </is>
      </c>
      <c r="I2612" t="inlineStr">
        <is>
          <t>merged</t>
        </is>
      </c>
      <c r="J2612" t="inlineStr">
        <is>
          <t>79071d13781b9df2ace021c605a370489e0466a2</t>
        </is>
      </c>
      <c r="K2612">
        <f>HYPERLINK("http://gitlab.osmosys.co/incident-reporter/incident-reporter-api/-/merge_requests/4104#note_240281", "done")</f>
        <v/>
      </c>
      <c r="L2612" t="inlineStr">
        <is>
          <t>2025-07-22 15:59:05.597 IST</t>
        </is>
      </c>
      <c r="M2612" t="inlineStr">
        <is>
          <t>Harish</t>
        </is>
      </c>
      <c r="N2612" t="inlineStr">
        <is>
          <t>No</t>
        </is>
      </c>
      <c r="O2612" t="inlineStr">
        <is>
          <t>Yes</t>
        </is>
      </c>
      <c r="P2612" t="inlineStr">
        <is>
          <t>Sameer Shaik</t>
        </is>
      </c>
      <c r="Q2612" t="inlineStr">
        <is>
          <t>Bad</t>
        </is>
      </c>
    </row>
    <row r="2613">
      <c r="A2613" t="inlineStr">
        <is>
          <t>harish</t>
        </is>
      </c>
      <c r="B2613" t="inlineStr">
        <is>
          <t>Harish</t>
        </is>
      </c>
      <c r="C2613" t="inlineStr">
        <is>
          <t>harish@osmosys.co</t>
        </is>
      </c>
      <c r="D2613" t="inlineStr">
        <is>
          <t>incident-reporter</t>
        </is>
      </c>
      <c r="E2613">
        <f>HYPERLINK("http://gitlab.osmosys.co/incident-reporter/incident-reporter-api", "OQSHA-API")</f>
        <v/>
      </c>
      <c r="F2613">
        <f>HYPERLINK("http://gitlab.osmosys.co/incident-reporter/incident-reporter-api/-/merge_requests/4047", "feat: add changes for save_status column in inspection and inspection type")</f>
        <v/>
      </c>
      <c r="G2613" t="inlineStr">
        <is>
          <t>feat/inspection-draft</t>
        </is>
      </c>
      <c r="H2613" t="inlineStr">
        <is>
          <t>sprint-17</t>
        </is>
      </c>
      <c r="I2613" t="inlineStr">
        <is>
          <t>merged</t>
        </is>
      </c>
      <c r="J2613" t="inlineStr"/>
      <c r="K2613" t="inlineStr"/>
      <c r="L2613" t="inlineStr"/>
      <c r="M2613" t="inlineStr"/>
      <c r="N2613" t="inlineStr"/>
      <c r="O2613" t="inlineStr"/>
      <c r="P2613" t="inlineStr"/>
      <c r="Q2613" t="inlineStr"/>
    </row>
    <row r="2614">
      <c r="A2614" t="inlineStr">
        <is>
          <t>harish</t>
        </is>
      </c>
      <c r="B2614" t="inlineStr">
        <is>
          <t>Harish</t>
        </is>
      </c>
      <c r="C2614" t="inlineStr">
        <is>
          <t>harish@osmosys.co</t>
        </is>
      </c>
      <c r="D2614" t="inlineStr">
        <is>
          <t>incident-reporter</t>
        </is>
      </c>
      <c r="E2614">
        <f>HYPERLINK("http://gitlab.osmosys.co/incident-reporter/incident-reporter-api", "OQSHA-API")</f>
        <v/>
      </c>
      <c r="F2614">
        <f>HYPERLINK("http://gitlab.osmosys.co/incident-reporter/incident-reporter-api/-/merge_requests/4021", "revert: remove the validation to verify user is current user or not")</f>
        <v/>
      </c>
      <c r="G2614" t="inlineStr">
        <is>
          <t>revert/user-validation</t>
        </is>
      </c>
      <c r="H2614" t="inlineStr">
        <is>
          <t>sprint-17</t>
        </is>
      </c>
      <c r="I2614" t="inlineStr">
        <is>
          <t>merged</t>
        </is>
      </c>
      <c r="J2614" t="inlineStr"/>
      <c r="K2614" t="inlineStr"/>
      <c r="L2614" t="inlineStr"/>
      <c r="M2614" t="inlineStr"/>
      <c r="N2614" t="inlineStr"/>
      <c r="O2614" t="inlineStr"/>
      <c r="P2614" t="inlineStr"/>
      <c r="Q2614" t="inlineStr"/>
    </row>
    <row r="2615">
      <c r="A2615" t="inlineStr">
        <is>
          <t>harish</t>
        </is>
      </c>
      <c r="B2615" t="inlineStr">
        <is>
          <t>Harish</t>
        </is>
      </c>
      <c r="C2615" t="inlineStr">
        <is>
          <t>harish@osmosys.co</t>
        </is>
      </c>
      <c r="D2615" t="inlineStr">
        <is>
          <t>incident-reporter</t>
        </is>
      </c>
      <c r="E2615">
        <f>HYPERLINK("http://gitlab.osmosys.co/incident-reporter/incident-reporter-angular-portal", "OQSHA Portal")</f>
        <v/>
      </c>
      <c r="F2615">
        <f>HYPERLINK("http://gitlab.osmosys.co/incident-reporter/incident-reporter-angular-portal/-/merge_requests/3606", "fix: add approver column in moc export")</f>
        <v/>
      </c>
      <c r="G2615" t="inlineStr">
        <is>
          <t>feat/moc-export</t>
        </is>
      </c>
      <c r="H2615" t="inlineStr">
        <is>
          <t>sprint-18</t>
        </is>
      </c>
      <c r="I2615" t="inlineStr">
        <is>
          <t>merged</t>
        </is>
      </c>
      <c r="J2615" t="inlineStr"/>
      <c r="K2615" t="inlineStr"/>
      <c r="L2615" t="inlineStr"/>
      <c r="M2615" t="inlineStr"/>
      <c r="N2615" t="inlineStr"/>
      <c r="O2615" t="inlineStr"/>
      <c r="P2615" t="inlineStr"/>
      <c r="Q2615" t="inlineStr"/>
    </row>
    <row r="2616">
      <c r="A2616" t="inlineStr">
        <is>
          <t>harish</t>
        </is>
      </c>
      <c r="B2616" t="inlineStr">
        <is>
          <t>Harish</t>
        </is>
      </c>
      <c r="C2616" t="inlineStr">
        <is>
          <t>harish@osmosys.co</t>
        </is>
      </c>
      <c r="D2616" t="inlineStr">
        <is>
          <t>incident-reporter</t>
        </is>
      </c>
      <c r="E2616">
        <f>HYPERLINK("http://gitlab.osmosys.co/incident-reporter/incident-reporter-angular-portal", "OQSHA Portal")</f>
        <v/>
      </c>
      <c r="F2616">
        <f>HYPERLINK("http://gitlab.osmosys.co/incident-reporter/incident-reporter-angular-portal/-/merge_requests/3603", "feat: integrate pssr history api")</f>
        <v/>
      </c>
      <c r="G2616" t="inlineStr">
        <is>
          <t>feat/pssr-history</t>
        </is>
      </c>
      <c r="H2616" t="inlineStr">
        <is>
          <t>sprint-18</t>
        </is>
      </c>
      <c r="I2616" t="inlineStr">
        <is>
          <t>merged</t>
        </is>
      </c>
      <c r="J2616" t="inlineStr"/>
      <c r="K2616" t="inlineStr"/>
      <c r="L2616" t="inlineStr"/>
      <c r="M2616" t="inlineStr"/>
      <c r="N2616" t="inlineStr"/>
      <c r="O2616" t="inlineStr"/>
      <c r="P2616" t="inlineStr"/>
      <c r="Q2616" t="inlineStr"/>
    </row>
    <row r="2617">
      <c r="A2617" t="inlineStr">
        <is>
          <t>harish</t>
        </is>
      </c>
      <c r="B2617" t="inlineStr">
        <is>
          <t>Harish</t>
        </is>
      </c>
      <c r="C2617" t="inlineStr">
        <is>
          <t>harish@osmosys.co</t>
        </is>
      </c>
      <c r="D2617" t="inlineStr">
        <is>
          <t>incident-reporter</t>
        </is>
      </c>
      <c r="E2617">
        <f>HYPERLINK("http://gitlab.osmosys.co/incident-reporter/incident-reporter-angular-portal", "OQSHA Portal")</f>
        <v/>
      </c>
      <c r="F2617">
        <f>HYPERLINK("http://gitlab.osmosys.co/incident-reporter/incident-reporter-angular-portal/-/merge_requests/3602", "feat: integrate pssr history api")</f>
        <v/>
      </c>
      <c r="G2617" t="inlineStr">
        <is>
          <t>feat/integrate-pssr-history</t>
        </is>
      </c>
      <c r="H2617" t="inlineStr">
        <is>
          <t>sprint-18</t>
        </is>
      </c>
      <c r="I2617" t="inlineStr">
        <is>
          <t>closed</t>
        </is>
      </c>
      <c r="J2617" t="inlineStr"/>
      <c r="K2617" t="inlineStr"/>
      <c r="L2617" t="inlineStr"/>
      <c r="M2617" t="inlineStr"/>
      <c r="N2617" t="inlineStr"/>
      <c r="O2617" t="inlineStr"/>
      <c r="P2617" t="inlineStr"/>
      <c r="Q2617" t="inlineStr"/>
    </row>
    <row r="2618">
      <c r="A2618" t="inlineStr">
        <is>
          <t>harish</t>
        </is>
      </c>
      <c r="B2618" t="inlineStr">
        <is>
          <t>Harish</t>
        </is>
      </c>
      <c r="C2618" t="inlineStr">
        <is>
          <t>harish@osmosys.co</t>
        </is>
      </c>
      <c r="D2618" t="inlineStr">
        <is>
          <t>incident-reporter</t>
        </is>
      </c>
      <c r="E2618">
        <f>HYPERLINK("http://gitlab.osmosys.co/incident-reporter/incident-reporter-angular-portal", "OQSHA Portal")</f>
        <v/>
      </c>
      <c r="F2618">
        <f>HYPERLINK("http://gitlab.osmosys.co/incident-reporter/incident-reporter-angular-portal/-/merge_requests/3534", "feat: add static page for user consent")</f>
        <v/>
      </c>
      <c r="G2618" t="inlineStr">
        <is>
          <t>feat/user-consent-page</t>
        </is>
      </c>
      <c r="H2618" t="inlineStr">
        <is>
          <t>sprint-18</t>
        </is>
      </c>
      <c r="I2618" t="inlineStr">
        <is>
          <t>merged</t>
        </is>
      </c>
      <c r="J2618" t="inlineStr"/>
      <c r="K2618" t="inlineStr"/>
      <c r="L2618" t="inlineStr"/>
      <c r="M2618" t="inlineStr"/>
      <c r="N2618" t="inlineStr"/>
      <c r="O2618" t="inlineStr"/>
      <c r="P2618" t="inlineStr"/>
      <c r="Q2618" t="inlineStr"/>
    </row>
    <row r="2619">
      <c r="A2619" t="inlineStr">
        <is>
          <t>ujjawal.s</t>
        </is>
      </c>
      <c r="B2619" t="inlineStr">
        <is>
          <t>Ujjawal Sharma</t>
        </is>
      </c>
      <c r="C2619" t="inlineStr">
        <is>
          <t>ujjawal.s@osmosys.co</t>
        </is>
      </c>
      <c r="D2619" t="inlineStr">
        <is>
          <t>tp</t>
        </is>
      </c>
      <c r="E2619">
        <f>HYPERLINK("http://gitlab.osmosys.co/tp/TalonProAPI", "TalonProAPI")</f>
        <v/>
      </c>
      <c r="F2619">
        <f>HYPERLINK("http://gitlab.osmosys.co/tp/TalonProAPI/-/merge_requests/2132", "18945 - Accounting - Fix CSV Format issue while uploading")</f>
        <v/>
      </c>
      <c r="G2619" t="inlineStr">
        <is>
          <t>dev/csv-to-datatable</t>
        </is>
      </c>
      <c r="H2619" t="inlineStr">
        <is>
          <t>Staging_Development</t>
        </is>
      </c>
      <c r="I2619" t="inlineStr">
        <is>
          <t>merged</t>
        </is>
      </c>
      <c r="J2619" t="inlineStr"/>
      <c r="K2619" t="inlineStr"/>
      <c r="L2619" t="inlineStr"/>
      <c r="M2619" t="inlineStr"/>
      <c r="N2619" t="inlineStr"/>
      <c r="O2619" t="inlineStr"/>
      <c r="P2619" t="inlineStr"/>
      <c r="Q2619" t="inlineStr"/>
    </row>
    <row r="2620">
      <c r="A2620" t="inlineStr">
        <is>
          <t>ujjawal.s</t>
        </is>
      </c>
      <c r="B2620" t="inlineStr">
        <is>
          <t>Ujjawal Sharma</t>
        </is>
      </c>
      <c r="C2620" t="inlineStr">
        <is>
          <t>ujjawal.s@osmosys.co</t>
        </is>
      </c>
      <c r="D2620" t="inlineStr">
        <is>
          <t>tp</t>
        </is>
      </c>
      <c r="E2620">
        <f>HYPERLINK("http://gitlab.osmosys.co/tp/TalonProAPI", "TalonProAPI")</f>
        <v/>
      </c>
      <c r="F2620">
        <f>HYPERLINK("http://gitlab.osmosys.co/tp/TalonProAPI/-/merge_requests/2129", "Draft: Accounting - Voucher and Adjustment Worksheet and Pop Up")</f>
        <v/>
      </c>
      <c r="G2620" t="inlineStr">
        <is>
          <t>dev/voucher-worksheet-popup</t>
        </is>
      </c>
      <c r="H2620" t="inlineStr">
        <is>
          <t>PreTest_Development</t>
        </is>
      </c>
      <c r="I2620" t="inlineStr">
        <is>
          <t>opened</t>
        </is>
      </c>
      <c r="J2620" t="inlineStr"/>
      <c r="K2620" t="inlineStr"/>
      <c r="L2620" t="inlineStr"/>
      <c r="M2620" t="inlineStr"/>
      <c r="N2620" t="inlineStr"/>
      <c r="O2620" t="inlineStr"/>
      <c r="P2620" t="inlineStr"/>
      <c r="Q2620" t="inlineStr"/>
    </row>
    <row r="2621">
      <c r="A2621" t="inlineStr">
        <is>
          <t>ujjawal.s</t>
        </is>
      </c>
      <c r="B2621" t="inlineStr">
        <is>
          <t>Ujjawal Sharma</t>
        </is>
      </c>
      <c r="C2621" t="inlineStr">
        <is>
          <t>ujjawal.s@osmosys.co</t>
        </is>
      </c>
      <c r="D2621" t="inlineStr">
        <is>
          <t>tp</t>
        </is>
      </c>
      <c r="E2621">
        <f>HYPERLINK("http://gitlab.osmosys.co/tp/TalonProAPI", "TalonProAPI")</f>
        <v/>
      </c>
      <c r="F2621">
        <f>HYPERLINK("http://gitlab.osmosys.co/tp/TalonProAPI/-/merge_requests/2121", "13804 - Accounting (TEST) - Status, Confirmation Number check, Confirm id insertion check")</f>
        <v/>
      </c>
      <c r="G2621" t="inlineStr">
        <is>
          <t>dev/hotel-payment-confirmation</t>
        </is>
      </c>
      <c r="H2621" t="inlineStr">
        <is>
          <t>Staging_Development</t>
        </is>
      </c>
      <c r="I2621" t="inlineStr">
        <is>
          <t>merged</t>
        </is>
      </c>
      <c r="J2621" t="inlineStr"/>
      <c r="K2621" t="inlineStr"/>
      <c r="L2621" t="inlineStr"/>
      <c r="M2621" t="inlineStr"/>
      <c r="N2621" t="inlineStr"/>
      <c r="O2621" t="inlineStr"/>
      <c r="P2621" t="inlineStr"/>
      <c r="Q2621" t="inlineStr"/>
    </row>
    <row r="2622">
      <c r="A2622" t="inlineStr">
        <is>
          <t>ujjawal.s</t>
        </is>
      </c>
      <c r="B2622" t="inlineStr">
        <is>
          <t>Ujjawal Sharma</t>
        </is>
      </c>
      <c r="C2622" t="inlineStr">
        <is>
          <t>ujjawal.s@osmosys.co</t>
        </is>
      </c>
      <c r="D2622" t="inlineStr">
        <is>
          <t>tp</t>
        </is>
      </c>
      <c r="E2622">
        <f>HYPERLINK("http://gitlab.osmosys.co/tp/TalonProAPI", "TalonProAPI")</f>
        <v/>
      </c>
      <c r="F2622">
        <f>HYPERLINK("http://gitlab.osmosys.co/tp/TalonProAPI/-/merge_requests/2115", "13804 - Accounting : Hotel payment processing - upload report as background service, auto populate missing records")</f>
        <v/>
      </c>
      <c r="G2622" t="inlineStr">
        <is>
          <t>dev/corpay-background-service</t>
        </is>
      </c>
      <c r="H2622" t="inlineStr">
        <is>
          <t>PreTest_Development</t>
        </is>
      </c>
      <c r="I2622" t="inlineStr">
        <is>
          <t>opened</t>
        </is>
      </c>
      <c r="J2622" t="inlineStr">
        <is>
          <t>450e04b5d6b8a559a96054d37a6150385146b533</t>
        </is>
      </c>
      <c r="K2622">
        <f>HYPERLINK("http://gitlab.osmosys.co/tp/TalonProAPI/-/merge_requests/2115#note_243455", "Remove all other file types
Allow only .xls, .xlsx, .csv")</f>
        <v/>
      </c>
      <c r="L2622" t="inlineStr">
        <is>
          <t>2025-07-29 11:46:51.477 IST</t>
        </is>
      </c>
      <c r="M2622" t="inlineStr">
        <is>
          <t xml:space="preserve">Mandali Harshavardhan </t>
        </is>
      </c>
      <c r="N2622" t="inlineStr">
        <is>
          <t>Yes</t>
        </is>
      </c>
      <c r="O2622" t="inlineStr">
        <is>
          <t>No</t>
        </is>
      </c>
      <c r="P2622" t="inlineStr"/>
      <c r="Q2622" t="inlineStr">
        <is>
          <t>Bad</t>
        </is>
      </c>
    </row>
    <row r="2623">
      <c r="A2623" t="inlineStr">
        <is>
          <t>ujjawal.s</t>
        </is>
      </c>
      <c r="B2623" t="inlineStr">
        <is>
          <t>Ujjawal Sharma</t>
        </is>
      </c>
      <c r="C2623" t="inlineStr">
        <is>
          <t>ujjawal.s@osmosys.co</t>
        </is>
      </c>
      <c r="D2623" t="inlineStr">
        <is>
          <t>tp</t>
        </is>
      </c>
      <c r="E2623">
        <f>HYPERLINK("http://gitlab.osmosys.co/tp/TalonProAPI", "TalonProAPI")</f>
        <v/>
      </c>
      <c r="F2623">
        <f>HYPERLINK("http://gitlab.osmosys.co/tp/TalonProAPI/-/merge_requests/2104", "Accounting - TEST - Lease Audit Worksheet - ALT Mail and Total")</f>
        <v/>
      </c>
      <c r="G2623" t="inlineStr">
        <is>
          <t>dev/lease-audit</t>
        </is>
      </c>
      <c r="H2623" t="inlineStr">
        <is>
          <t>Staging_Development</t>
        </is>
      </c>
      <c r="I2623" t="inlineStr">
        <is>
          <t>merged</t>
        </is>
      </c>
      <c r="J2623" t="inlineStr"/>
      <c r="K2623" t="inlineStr"/>
      <c r="L2623" t="inlineStr"/>
      <c r="M2623" t="inlineStr"/>
      <c r="N2623" t="inlineStr"/>
      <c r="O2623" t="inlineStr"/>
      <c r="P2623" t="inlineStr"/>
      <c r="Q2623" t="inlineStr"/>
    </row>
    <row r="2624">
      <c r="A2624" t="inlineStr">
        <is>
          <t>ujjawal.s</t>
        </is>
      </c>
      <c r="B2624" t="inlineStr">
        <is>
          <t>Ujjawal Sharma</t>
        </is>
      </c>
      <c r="C2624" t="inlineStr">
        <is>
          <t>ujjawal.s@osmosys.co</t>
        </is>
      </c>
      <c r="D2624" t="inlineStr">
        <is>
          <t>tp</t>
        </is>
      </c>
      <c r="E2624">
        <f>HYPERLINK("http://gitlab.osmosys.co/tp/TalonProAPI", "TalonProAPI")</f>
        <v/>
      </c>
      <c r="F2624">
        <f>HYPERLINK("http://gitlab.osmosys.co/tp/TalonProAPI/-/merge_requests/2095", "Archiving - Add Archive API to display Archive sites")</f>
        <v/>
      </c>
      <c r="G2624" t="inlineStr">
        <is>
          <t>dev/archived-sites-api</t>
        </is>
      </c>
      <c r="H2624" t="inlineStr">
        <is>
          <t>PreTest_Development</t>
        </is>
      </c>
      <c r="I2624" t="inlineStr">
        <is>
          <t>merged</t>
        </is>
      </c>
      <c r="J2624" t="inlineStr">
        <is>
          <t>a8e676c803f5a1ea767fb43120f14b14a36dff74</t>
        </is>
      </c>
      <c r="K2624">
        <f>HYPERLINK("http://gitlab.osmosys.co/tp/TalonProAPI/-/merge_requests/2095#note_239194", "Add the Queries in Repo, Remove from config")</f>
        <v/>
      </c>
      <c r="L2624" t="inlineStr">
        <is>
          <t>2025-07-21 12:15:17.123 IST</t>
        </is>
      </c>
      <c r="M2624" t="inlineStr">
        <is>
          <t xml:space="preserve">Mandali Harshavardhan </t>
        </is>
      </c>
      <c r="N2624" t="inlineStr">
        <is>
          <t>Yes</t>
        </is>
      </c>
      <c r="O2624" t="inlineStr">
        <is>
          <t>No</t>
        </is>
      </c>
      <c r="P2624" t="inlineStr"/>
      <c r="Q2624" t="inlineStr">
        <is>
          <t>Bad</t>
        </is>
      </c>
    </row>
    <row r="2625">
      <c r="A2625" t="inlineStr">
        <is>
          <t>ujjawal.s</t>
        </is>
      </c>
      <c r="B2625" t="inlineStr">
        <is>
          <t>Ujjawal Sharma</t>
        </is>
      </c>
      <c r="C2625" t="inlineStr">
        <is>
          <t>ujjawal.s@osmosys.co</t>
        </is>
      </c>
      <c r="D2625" t="inlineStr">
        <is>
          <t>tp</t>
        </is>
      </c>
      <c r="E2625">
        <f>HYPERLINK("http://gitlab.osmosys.co/tp/TalonProAPI", "TalonProAPI")</f>
        <v/>
      </c>
      <c r="F2625">
        <f>HYPERLINK("http://gitlab.osmosys.co/tp/TalonProAPI/-/merge_requests/2095", "Archiving - Add Archive API to display Archive sites")</f>
        <v/>
      </c>
      <c r="G2625" t="inlineStr">
        <is>
          <t>dev/archived-sites-api</t>
        </is>
      </c>
      <c r="H2625" t="inlineStr">
        <is>
          <t>PreTest_Development</t>
        </is>
      </c>
      <c r="I2625" t="inlineStr">
        <is>
          <t>merged</t>
        </is>
      </c>
      <c r="J2625" t="inlineStr">
        <is>
          <t>a8e676c803f5a1ea767fb43120f14b14a36dff74</t>
        </is>
      </c>
      <c r="K2625">
        <f>HYPERLINK("http://gitlab.osmosys.co/tp/TalonProAPI/-/merge_requests/2095#note_239202", "this is done")</f>
        <v/>
      </c>
      <c r="L2625" t="inlineStr">
        <is>
          <t>2025-07-21 12:24:37.303 IST</t>
        </is>
      </c>
      <c r="M2625" t="inlineStr">
        <is>
          <t>Ujjawal Sharma</t>
        </is>
      </c>
      <c r="N2625" t="inlineStr">
        <is>
          <t>No</t>
        </is>
      </c>
      <c r="O2625" t="inlineStr">
        <is>
          <t>No</t>
        </is>
      </c>
      <c r="P2625" t="inlineStr"/>
      <c r="Q2625" t="inlineStr">
        <is>
          <t>Bad</t>
        </is>
      </c>
    </row>
    <row r="2626">
      <c r="A2626" t="inlineStr">
        <is>
          <t>ujjawal.s</t>
        </is>
      </c>
      <c r="B2626" t="inlineStr">
        <is>
          <t>Ujjawal Sharma</t>
        </is>
      </c>
      <c r="C2626" t="inlineStr">
        <is>
          <t>ujjawal.s@osmosys.co</t>
        </is>
      </c>
      <c r="D2626" t="inlineStr">
        <is>
          <t>tp</t>
        </is>
      </c>
      <c r="E2626">
        <f>HYPERLINK("http://gitlab.osmosys.co/tp/TalonProAPI", "TalonProAPI")</f>
        <v/>
      </c>
      <c r="F2626">
        <f>HYPERLINK("http://gitlab.osmosys.co/tp/TalonProAPI/-/merge_requests/2095", "Archiving - Add Archive API to display Archive sites")</f>
        <v/>
      </c>
      <c r="G2626" t="inlineStr">
        <is>
          <t>dev/archived-sites-api</t>
        </is>
      </c>
      <c r="H2626" t="inlineStr">
        <is>
          <t>PreTest_Development</t>
        </is>
      </c>
      <c r="I2626" t="inlineStr">
        <is>
          <t>merged</t>
        </is>
      </c>
      <c r="J2626" t="inlineStr">
        <is>
          <t>9ab6dda4a0fc7b016d6a305cae6f9dc2c3a66bd8</t>
        </is>
      </c>
      <c r="K2626">
        <f>HYPERLINK("http://gitlab.osmosys.co/tp/TalonProAPI/-/merge_requests/2095#note_239212", "Order by should be based on application_id asc 
@ujjawal.s")</f>
        <v/>
      </c>
      <c r="L2626" t="inlineStr">
        <is>
          <t>2025-07-21 13:00:03.477 IST</t>
        </is>
      </c>
      <c r="M2626" t="inlineStr">
        <is>
          <t xml:space="preserve">Mandali Harshavardhan </t>
        </is>
      </c>
      <c r="N2626" t="inlineStr">
        <is>
          <t>Yes</t>
        </is>
      </c>
      <c r="O2626" t="inlineStr">
        <is>
          <t>No</t>
        </is>
      </c>
      <c r="P2626" t="inlineStr"/>
      <c r="Q2626" t="inlineStr">
        <is>
          <t>Bad</t>
        </is>
      </c>
    </row>
    <row r="2627">
      <c r="A2627" t="inlineStr">
        <is>
          <t>ujjawal.s</t>
        </is>
      </c>
      <c r="B2627" t="inlineStr">
        <is>
          <t>Ujjawal Sharma</t>
        </is>
      </c>
      <c r="C2627" t="inlineStr">
        <is>
          <t>ujjawal.s@osmosys.co</t>
        </is>
      </c>
      <c r="D2627" t="inlineStr">
        <is>
          <t>tp</t>
        </is>
      </c>
      <c r="E2627">
        <f>HYPERLINK("http://gitlab.osmosys.co/tp/TalonProAPI", "TalonProAPI")</f>
        <v/>
      </c>
      <c r="F2627">
        <f>HYPERLINK("http://gitlab.osmosys.co/tp/TalonProAPI/-/merge_requests/2095", "Archiving - Add Archive API to display Archive sites")</f>
        <v/>
      </c>
      <c r="G2627" t="inlineStr">
        <is>
          <t>dev/archived-sites-api</t>
        </is>
      </c>
      <c r="H2627" t="inlineStr">
        <is>
          <t>PreTest_Development</t>
        </is>
      </c>
      <c r="I2627" t="inlineStr">
        <is>
          <t>merged</t>
        </is>
      </c>
      <c r="J2627" t="inlineStr">
        <is>
          <t>9ab6dda4a0fc7b016d6a305cae6f9dc2c3a66bd8</t>
        </is>
      </c>
      <c r="K2627">
        <f>HYPERLINK("http://gitlab.osmosys.co/tp/TalonProAPI/-/merge_requests/2095#note_239220", "done")</f>
        <v/>
      </c>
      <c r="L2627" t="inlineStr">
        <is>
          <t>2025-07-21 13:11:54.280 IST</t>
        </is>
      </c>
      <c r="M2627" t="inlineStr">
        <is>
          <t>Ujjawal Sharma</t>
        </is>
      </c>
      <c r="N2627" t="inlineStr">
        <is>
          <t>No</t>
        </is>
      </c>
      <c r="O2627" t="inlineStr">
        <is>
          <t>No</t>
        </is>
      </c>
      <c r="P2627" t="inlineStr"/>
      <c r="Q2627" t="inlineStr">
        <is>
          <t>Bad</t>
        </is>
      </c>
    </row>
    <row r="2628">
      <c r="A2628" t="inlineStr">
        <is>
          <t>ujjawal.s</t>
        </is>
      </c>
      <c r="B2628" t="inlineStr">
        <is>
          <t>Ujjawal Sharma</t>
        </is>
      </c>
      <c r="C2628" t="inlineStr">
        <is>
          <t>ujjawal.s@osmosys.co</t>
        </is>
      </c>
      <c r="D2628" t="inlineStr">
        <is>
          <t>tp</t>
        </is>
      </c>
      <c r="E2628">
        <f>HYPERLINK("http://gitlab.osmosys.co/tp/TalonProAPI", "TalonProAPI")</f>
        <v/>
      </c>
      <c r="F2628">
        <f>HYPERLINK("http://gitlab.osmosys.co/tp/TalonProAPI/-/merge_requests/2086", "13465 - Accounting - Budget performance - New Prospect ID &amp; Estimated cost total")</f>
        <v/>
      </c>
      <c r="G2628" t="inlineStr">
        <is>
          <t>issues/budget-performance</t>
        </is>
      </c>
      <c r="H2628" t="inlineStr">
        <is>
          <t>PreTest_Development</t>
        </is>
      </c>
      <c r="I2628" t="inlineStr">
        <is>
          <t>merged</t>
        </is>
      </c>
      <c r="J2628" t="inlineStr"/>
      <c r="K2628" t="inlineStr"/>
      <c r="L2628" t="inlineStr"/>
      <c r="M2628" t="inlineStr"/>
      <c r="N2628" t="inlineStr"/>
      <c r="O2628" t="inlineStr"/>
      <c r="P2628" t="inlineStr"/>
      <c r="Q2628" t="inlineStr"/>
    </row>
    <row r="2629">
      <c r="A2629" t="inlineStr">
        <is>
          <t>ujjawal.s</t>
        </is>
      </c>
      <c r="B2629" t="inlineStr">
        <is>
          <t>Ujjawal Sharma</t>
        </is>
      </c>
      <c r="C2629" t="inlineStr">
        <is>
          <t>ujjawal.s@osmosys.co</t>
        </is>
      </c>
      <c r="D2629" t="inlineStr">
        <is>
          <t>tp</t>
        </is>
      </c>
      <c r="E2629">
        <f>HYPERLINK("http://gitlab.osmosys.co/tp/TalonProAPI", "TalonProAPI")</f>
        <v/>
      </c>
      <c r="F2629">
        <f>HYPERLINK("http://gitlab.osmosys.co/tp/TalonProAPI/-/merge_requests/2067", "13803 - Accounting - Add confirmation number to search box")</f>
        <v/>
      </c>
      <c r="G2629" t="inlineStr">
        <is>
          <t>dev/hotel-pp-searchbox-confirmation</t>
        </is>
      </c>
      <c r="H2629" t="inlineStr">
        <is>
          <t>PreTest_Development</t>
        </is>
      </c>
      <c r="I2629" t="inlineStr">
        <is>
          <t>merged</t>
        </is>
      </c>
      <c r="J2629" t="inlineStr"/>
      <c r="K2629" t="inlineStr"/>
      <c r="L2629" t="inlineStr"/>
      <c r="M2629" t="inlineStr"/>
      <c r="N2629" t="inlineStr"/>
      <c r="O2629" t="inlineStr"/>
      <c r="P2629" t="inlineStr"/>
      <c r="Q2629" t="inlineStr"/>
    </row>
    <row r="2630">
      <c r="A2630" t="inlineStr">
        <is>
          <t>ujjawal.s</t>
        </is>
      </c>
      <c r="B2630" t="inlineStr">
        <is>
          <t>Ujjawal Sharma</t>
        </is>
      </c>
      <c r="C2630" t="inlineStr">
        <is>
          <t>ujjawal.s@osmosys.co</t>
        </is>
      </c>
      <c r="D2630" t="inlineStr">
        <is>
          <t>tp</t>
        </is>
      </c>
      <c r="E2630">
        <f>HYPERLINK("http://gitlab.osmosys.co/tp/TalonProAPI", "TalonProAPI")</f>
        <v/>
      </c>
      <c r="F2630">
        <f>HYPERLINK("http://gitlab.osmosys.co/tp/TalonProAPI/-/merge_requests/2066", "13465 - Accounting - Budget Performance / AR AP Insertion")</f>
        <v/>
      </c>
      <c r="G2630" t="inlineStr">
        <is>
          <t>dev/budget-performance-ap-ar</t>
        </is>
      </c>
      <c r="H2630" t="inlineStr">
        <is>
          <t>PreTest_Development</t>
        </is>
      </c>
      <c r="I2630" t="inlineStr">
        <is>
          <t>merged</t>
        </is>
      </c>
      <c r="J2630" t="inlineStr"/>
      <c r="K2630" t="inlineStr"/>
      <c r="L2630" t="inlineStr"/>
      <c r="M2630" t="inlineStr"/>
      <c r="N2630" t="inlineStr"/>
      <c r="O2630" t="inlineStr"/>
      <c r="P2630" t="inlineStr"/>
      <c r="Q2630" t="inlineStr"/>
    </row>
    <row r="2631">
      <c r="A2631" t="inlineStr">
        <is>
          <t>ujjawal.s</t>
        </is>
      </c>
      <c r="B2631" t="inlineStr">
        <is>
          <t>Ujjawal Sharma</t>
        </is>
      </c>
      <c r="C2631" t="inlineStr">
        <is>
          <t>ujjawal.s@osmosys.co</t>
        </is>
      </c>
      <c r="D2631" t="inlineStr">
        <is>
          <t>tp</t>
        </is>
      </c>
      <c r="E2631">
        <f>HYPERLINK("http://gitlab.osmosys.co/tp/TalonProAPI", "TalonProAPI")</f>
        <v/>
      </c>
      <c r="F2631">
        <f>HYPERLINK("http://gitlab.osmosys.co/tp/TalonProAPI/-/merge_requests/2055", "13803 - Accounting (Test) - Update Search Window to search based on Token and Card Account Number")</f>
        <v/>
      </c>
      <c r="G2631" t="inlineStr">
        <is>
          <t>dev/hotel-pp-searchbox</t>
        </is>
      </c>
      <c r="H2631" t="inlineStr">
        <is>
          <t>Staging_Development</t>
        </is>
      </c>
      <c r="I2631" t="inlineStr">
        <is>
          <t>merged</t>
        </is>
      </c>
      <c r="J2631" t="inlineStr"/>
      <c r="K2631" t="inlineStr"/>
      <c r="L2631" t="inlineStr"/>
      <c r="M2631" t="inlineStr"/>
      <c r="N2631" t="inlineStr"/>
      <c r="O2631" t="inlineStr"/>
      <c r="P2631" t="inlineStr"/>
      <c r="Q2631" t="inlineStr"/>
    </row>
    <row r="2632">
      <c r="A2632" t="inlineStr">
        <is>
          <t>ujjawal.s</t>
        </is>
      </c>
      <c r="B2632" t="inlineStr">
        <is>
          <t>Ujjawal Sharma</t>
        </is>
      </c>
      <c r="C2632" t="inlineStr">
        <is>
          <t>ujjawal.s@osmosys.co</t>
        </is>
      </c>
      <c r="D2632" t="inlineStr">
        <is>
          <t>tp</t>
        </is>
      </c>
      <c r="E2632">
        <f>HYPERLINK("http://gitlab.osmosys.co/tp/TalonProAPI", "TalonProAPI")</f>
        <v/>
      </c>
      <c r="F2632">
        <f>HYPERLINK("http://gitlab.osmosys.co/tp/TalonProAPI/-/merge_requests/2053", "13803- Accounting - Update Search Window to search based on Token and Card Account Number")</f>
        <v/>
      </c>
      <c r="G2632" t="inlineStr">
        <is>
          <t>dev/update-search-pop-up/hotel-pp-worksheet</t>
        </is>
      </c>
      <c r="H2632" t="inlineStr">
        <is>
          <t>PreTest_Development</t>
        </is>
      </c>
      <c r="I2632" t="inlineStr">
        <is>
          <t>merged</t>
        </is>
      </c>
      <c r="J2632" t="inlineStr"/>
      <c r="K2632" t="inlineStr"/>
      <c r="L2632" t="inlineStr"/>
      <c r="M2632" t="inlineStr"/>
      <c r="N2632" t="inlineStr"/>
      <c r="O2632" t="inlineStr"/>
      <c r="P2632" t="inlineStr"/>
      <c r="Q2632" t="inlineStr"/>
    </row>
    <row r="2633">
      <c r="A2633" t="inlineStr">
        <is>
          <t>ujjawal.s</t>
        </is>
      </c>
      <c r="B2633" t="inlineStr">
        <is>
          <t>Ujjawal Sharma</t>
        </is>
      </c>
      <c r="C2633" t="inlineStr">
        <is>
          <t>ujjawal.s@osmosys.co</t>
        </is>
      </c>
      <c r="D2633" t="inlineStr">
        <is>
          <t>tp</t>
        </is>
      </c>
      <c r="E2633">
        <f>HYPERLINK("http://gitlab.osmosys.co/tp/TalonProAPI", "TalonProAPI")</f>
        <v/>
      </c>
      <c r="F2633">
        <f>HYPERLINK("http://gitlab.osmosys.co/tp/TalonProAPI/-/merge_requests/2046", "13083 - Accounting - Issue Fix - Update Data Type for Estimated billed days")</f>
        <v/>
      </c>
      <c r="G2633" t="inlineStr">
        <is>
          <t>issue/fix-data-type</t>
        </is>
      </c>
      <c r="H2633" t="inlineStr">
        <is>
          <t>Staging_Development</t>
        </is>
      </c>
      <c r="I2633" t="inlineStr">
        <is>
          <t>merged</t>
        </is>
      </c>
      <c r="J2633" t="inlineStr"/>
      <c r="K2633" t="inlineStr"/>
      <c r="L2633" t="inlineStr"/>
      <c r="M2633" t="inlineStr"/>
      <c r="N2633" t="inlineStr"/>
      <c r="O2633" t="inlineStr"/>
      <c r="P2633" t="inlineStr"/>
      <c r="Q2633" t="inlineStr"/>
    </row>
    <row r="2634">
      <c r="A2634" t="inlineStr">
        <is>
          <t>ujjawal.s</t>
        </is>
      </c>
      <c r="B2634" t="inlineStr">
        <is>
          <t>Ujjawal Sharma</t>
        </is>
      </c>
      <c r="C2634" t="inlineStr">
        <is>
          <t>ujjawal.s@osmosys.co</t>
        </is>
      </c>
      <c r="D2634" t="inlineStr">
        <is>
          <t>tp</t>
        </is>
      </c>
      <c r="E2634">
        <f>HYPERLINK("http://gitlab.osmosys.co/tp/TalonProAPI", "TalonProAPI")</f>
        <v/>
      </c>
      <c r="F2634">
        <f>HYPERLINK("http://gitlab.osmosys.co/tp/TalonProAPI/-/merge_requests/2044", "13083 - Accounting - Hotel Payment Processing - Tracking Notes Save")</f>
        <v/>
      </c>
      <c r="G2634" t="inlineStr">
        <is>
          <t>dev/hotel-pp-all-fixes</t>
        </is>
      </c>
      <c r="H2634" t="inlineStr">
        <is>
          <t>PreTest_Development</t>
        </is>
      </c>
      <c r="I2634" t="inlineStr">
        <is>
          <t>merged</t>
        </is>
      </c>
      <c r="J2634" t="inlineStr"/>
      <c r="K2634" t="inlineStr"/>
      <c r="L2634" t="inlineStr"/>
      <c r="M2634" t="inlineStr"/>
      <c r="N2634" t="inlineStr"/>
      <c r="O2634" t="inlineStr"/>
      <c r="P2634" t="inlineStr"/>
      <c r="Q2634" t="inlineStr"/>
    </row>
    <row r="2635">
      <c r="A2635" t="inlineStr">
        <is>
          <t>ujjawal.s</t>
        </is>
      </c>
      <c r="B2635" t="inlineStr">
        <is>
          <t>Ujjawal Sharma</t>
        </is>
      </c>
      <c r="C2635" t="inlineStr">
        <is>
          <t>ujjawal.s@osmosys.co</t>
        </is>
      </c>
      <c r="D2635" t="inlineStr">
        <is>
          <t>tp</t>
        </is>
      </c>
      <c r="E2635">
        <f>HYPERLINK("http://gitlab.osmosys.co/tp/TalonProAPI", "TalonProAPI")</f>
        <v/>
      </c>
      <c r="F2635">
        <f>HYPERLINK("http://gitlab.osmosys.co/tp/TalonProAPI/-/merge_requests/2043", "Accounting - Hotel Payment Processing - Tracking Notes Save")</f>
        <v/>
      </c>
      <c r="G2635" t="inlineStr">
        <is>
          <t>dev/hotel-pp-changes-final</t>
        </is>
      </c>
      <c r="H2635" t="inlineStr">
        <is>
          <t>Staging_Development</t>
        </is>
      </c>
      <c r="I2635" t="inlineStr">
        <is>
          <t>merged</t>
        </is>
      </c>
      <c r="J2635" t="inlineStr"/>
      <c r="K2635" t="inlineStr"/>
      <c r="L2635" t="inlineStr"/>
      <c r="M2635" t="inlineStr"/>
      <c r="N2635" t="inlineStr"/>
      <c r="O2635" t="inlineStr"/>
      <c r="P2635" t="inlineStr"/>
      <c r="Q2635" t="inlineStr"/>
    </row>
    <row r="2636">
      <c r="A2636" t="inlineStr">
        <is>
          <t>ujjawal.s</t>
        </is>
      </c>
      <c r="B2636" t="inlineStr">
        <is>
          <t>Ujjawal Sharma</t>
        </is>
      </c>
      <c r="C2636" t="inlineStr">
        <is>
          <t>ujjawal.s@osmosys.co</t>
        </is>
      </c>
      <c r="D2636" t="inlineStr">
        <is>
          <t>tp</t>
        </is>
      </c>
      <c r="E2636">
        <f>HYPERLINK("http://gitlab.osmosys.co/tp/homtrakapi", "HomTrakAPI")</f>
        <v/>
      </c>
      <c r="F2636">
        <f>HYPERLINK("http://gitlab.osmosys.co/tp/homtrakapi/-/merge_requests/58", "HomeTrak - Customer Details API Existing Pagination - Search API")</f>
        <v/>
      </c>
      <c r="G2636" t="inlineStr">
        <is>
          <t>issue/fix-pagination</t>
        </is>
      </c>
      <c r="H2636" t="inlineStr">
        <is>
          <t>Staging_Development</t>
        </is>
      </c>
      <c r="I2636" t="inlineStr">
        <is>
          <t>merged</t>
        </is>
      </c>
      <c r="J2636" t="inlineStr">
        <is>
          <t>c5dd8680bbdd009376abf67b3884ffef90329c1d</t>
        </is>
      </c>
      <c r="K2636">
        <f>HYPERLINK("http://gitlab.osmosys.co/tp/homtrakapi/-/merge_requests/58#note_235827", "You removed this query part 
Can you check once")</f>
        <v/>
      </c>
      <c r="L2636" t="inlineStr">
        <is>
          <t>2025-07-14 12:15:32.090 IST</t>
        </is>
      </c>
      <c r="M2636" t="inlineStr">
        <is>
          <t xml:space="preserve">Mandali Harshavardhan </t>
        </is>
      </c>
      <c r="N2636" t="inlineStr">
        <is>
          <t>Yes</t>
        </is>
      </c>
      <c r="O2636" t="inlineStr">
        <is>
          <t>Yes</t>
        </is>
      </c>
      <c r="P2636" t="inlineStr">
        <is>
          <t xml:space="preserve">Mandali Harshavardhan </t>
        </is>
      </c>
      <c r="Q2636" t="inlineStr">
        <is>
          <t>Bad</t>
        </is>
      </c>
    </row>
    <row r="2637">
      <c r="A2637" t="inlineStr">
        <is>
          <t>ujjawal.s</t>
        </is>
      </c>
      <c r="B2637" t="inlineStr">
        <is>
          <t>Ujjawal Sharma</t>
        </is>
      </c>
      <c r="C2637" t="inlineStr">
        <is>
          <t>ujjawal.s@osmosys.co</t>
        </is>
      </c>
      <c r="D2637" t="inlineStr">
        <is>
          <t>tp</t>
        </is>
      </c>
      <c r="E2637">
        <f>HYPERLINK("http://gitlab.osmosys.co/tp/homtrakapi", "HomTrakAPI")</f>
        <v/>
      </c>
      <c r="F2637">
        <f>HYPERLINK("http://gitlab.osmosys.co/tp/homtrakapi/-/merge_requests/58", "HomeTrak - Customer Details API Existing Pagination - Search API")</f>
        <v/>
      </c>
      <c r="G2637" t="inlineStr">
        <is>
          <t>issue/fix-pagination</t>
        </is>
      </c>
      <c r="H2637" t="inlineStr">
        <is>
          <t>Staging_Development</t>
        </is>
      </c>
      <c r="I2637" t="inlineStr">
        <is>
          <t>merged</t>
        </is>
      </c>
      <c r="J2637" t="inlineStr">
        <is>
          <t>31103211b7d15515e854e843edb555311674d8c0</t>
        </is>
      </c>
      <c r="K2637">
        <f>HYPERLINK("http://gitlab.osmosys.co/tp/homtrakapi/-/merge_requests/58#note_235829", "Same here the query is removed")</f>
        <v/>
      </c>
      <c r="L2637" t="inlineStr">
        <is>
          <t>2025-07-14 12:15:49.227 IST</t>
        </is>
      </c>
      <c r="M2637" t="inlineStr">
        <is>
          <t xml:space="preserve">Mandali Harshavardhan </t>
        </is>
      </c>
      <c r="N2637" t="inlineStr">
        <is>
          <t>Yes</t>
        </is>
      </c>
      <c r="O2637" t="inlineStr">
        <is>
          <t>Yes</t>
        </is>
      </c>
      <c r="P2637" t="inlineStr">
        <is>
          <t xml:space="preserve">Mandali Harshavardhan </t>
        </is>
      </c>
      <c r="Q2637" t="inlineStr">
        <is>
          <t>Bad</t>
        </is>
      </c>
    </row>
    <row r="2638">
      <c r="A2638" t="inlineStr">
        <is>
          <t>ujjawal.s</t>
        </is>
      </c>
      <c r="B2638" t="inlineStr">
        <is>
          <t>Ujjawal Sharma</t>
        </is>
      </c>
      <c r="C2638" t="inlineStr">
        <is>
          <t>ujjawal.s@osmosys.co</t>
        </is>
      </c>
      <c r="D2638" t="inlineStr">
        <is>
          <t>tp</t>
        </is>
      </c>
      <c r="E2638">
        <f>HYPERLINK("http://gitlab.osmosys.co/tp/homtrakapi", "HomTrakAPI")</f>
        <v/>
      </c>
      <c r="F2638">
        <f>HYPERLINK("http://gitlab.osmosys.co/tp/homtrakapi/-/merge_requests/57", "HomTrak - Customer / Invoice Pagination")</f>
        <v/>
      </c>
      <c r="G2638" t="inlineStr">
        <is>
          <t>dev/customer-invocie-pagination</t>
        </is>
      </c>
      <c r="H2638" t="inlineStr">
        <is>
          <t>Staging_Development</t>
        </is>
      </c>
      <c r="I2638" t="inlineStr">
        <is>
          <t>merged</t>
        </is>
      </c>
      <c r="J2638" t="inlineStr"/>
      <c r="K2638" t="inlineStr"/>
      <c r="L2638" t="inlineStr"/>
      <c r="M2638" t="inlineStr"/>
      <c r="N2638" t="inlineStr"/>
      <c r="O2638" t="inlineStr"/>
      <c r="P2638" t="inlineStr"/>
      <c r="Q2638" t="inlineStr"/>
    </row>
    <row r="2639">
      <c r="A2639" t="inlineStr">
        <is>
          <t>samarjeet.k</t>
        </is>
      </c>
      <c r="B2639" t="inlineStr">
        <is>
          <t>Kumar Samarjeet</t>
        </is>
      </c>
      <c r="C2639" t="inlineStr">
        <is>
          <t>samarjeet.k@osmosys.co</t>
        </is>
      </c>
      <c r="D2639" t="inlineStr">
        <is>
          <t>incident-reporter</t>
        </is>
      </c>
      <c r="E2639">
        <f>HYPERLINK("http://gitlab.osmosys.co/incident-reporter/incident-reporter-api", "OQSHA-API")</f>
        <v/>
      </c>
      <c r="F2639">
        <f>HYPERLINK("http://gitlab.osmosys.co/incident-reporter/incident-reporter-api/-/merge_requests/4476", "feat: add ptw delete api")</f>
        <v/>
      </c>
      <c r="G2639" t="inlineStr">
        <is>
          <t>feat/add_ptw_delete_api</t>
        </is>
      </c>
      <c r="H2639" t="inlineStr">
        <is>
          <t>sprint-19</t>
        </is>
      </c>
      <c r="I2639" t="inlineStr">
        <is>
          <t>merged</t>
        </is>
      </c>
      <c r="J2639" t="inlineStr"/>
      <c r="K2639" t="inlineStr"/>
      <c r="L2639" t="inlineStr"/>
      <c r="M2639" t="inlineStr"/>
      <c r="N2639" t="inlineStr"/>
      <c r="O2639" t="inlineStr"/>
      <c r="P2639" t="inlineStr"/>
      <c r="Q2639" t="inlineStr"/>
    </row>
    <row r="2640">
      <c r="A2640" t="inlineStr">
        <is>
          <t>samarjeet.k</t>
        </is>
      </c>
      <c r="B2640" t="inlineStr">
        <is>
          <t>Kumar Samarjeet</t>
        </is>
      </c>
      <c r="C2640" t="inlineStr">
        <is>
          <t>samarjeet.k@osmosys.co</t>
        </is>
      </c>
      <c r="D2640" t="inlineStr">
        <is>
          <t>incident-reporter</t>
        </is>
      </c>
      <c r="E2640">
        <f>HYPERLINK("http://gitlab.osmosys.co/incident-reporter/incident-reporter-api", "OQSHA-API")</f>
        <v/>
      </c>
      <c r="F2640">
        <f>HYPERLINK("http://gitlab.osmosys.co/incident-reporter/incident-reporter-api/-/merge_requests/4462", "fix: get risk assessment type")</f>
        <v/>
      </c>
      <c r="G2640" t="inlineStr">
        <is>
          <t>fix/get_risk_assessment_type</t>
        </is>
      </c>
      <c r="H2640" t="inlineStr">
        <is>
          <t>sprint-18</t>
        </is>
      </c>
      <c r="I2640" t="inlineStr">
        <is>
          <t>merged</t>
        </is>
      </c>
      <c r="J2640" t="inlineStr"/>
      <c r="K2640" t="inlineStr"/>
      <c r="L2640" t="inlineStr"/>
      <c r="M2640" t="inlineStr"/>
      <c r="N2640" t="inlineStr"/>
      <c r="O2640" t="inlineStr"/>
      <c r="P2640" t="inlineStr"/>
      <c r="Q2640" t="inlineStr"/>
    </row>
    <row r="2641">
      <c r="A2641" t="inlineStr">
        <is>
          <t>samarjeet.k</t>
        </is>
      </c>
      <c r="B2641" t="inlineStr">
        <is>
          <t>Kumar Samarjeet</t>
        </is>
      </c>
      <c r="C2641" t="inlineStr">
        <is>
          <t>samarjeet.k@osmosys.co</t>
        </is>
      </c>
      <c r="D2641" t="inlineStr">
        <is>
          <t>incident-reporter</t>
        </is>
      </c>
      <c r="E2641">
        <f>HYPERLINK("http://gitlab.osmosys.co/incident-reporter/incident-reporter-api", "OQSHA-API")</f>
        <v/>
      </c>
      <c r="F2641">
        <f>HYPERLINK("http://gitlab.osmosys.co/incident-reporter/incident-reporter-api/-/merge_requests/4449", "feat: user org grid preferences")</f>
        <v/>
      </c>
      <c r="G2641" t="inlineStr">
        <is>
          <t>feat/user_org_grid_preferences_v2</t>
        </is>
      </c>
      <c r="H2641" t="inlineStr">
        <is>
          <t>sprint-19</t>
        </is>
      </c>
      <c r="I2641" t="inlineStr">
        <is>
          <t>merged</t>
        </is>
      </c>
      <c r="J2641" t="inlineStr"/>
      <c r="K2641" t="inlineStr"/>
      <c r="L2641" t="inlineStr"/>
      <c r="M2641" t="inlineStr"/>
      <c r="N2641" t="inlineStr"/>
      <c r="O2641" t="inlineStr"/>
      <c r="P2641" t="inlineStr"/>
      <c r="Q2641" t="inlineStr"/>
    </row>
    <row r="2642">
      <c r="A2642" t="inlineStr">
        <is>
          <t>samarjeet.k</t>
        </is>
      </c>
      <c r="B2642" t="inlineStr">
        <is>
          <t>Kumar Samarjeet</t>
        </is>
      </c>
      <c r="C2642" t="inlineStr">
        <is>
          <t>samarjeet.k@osmosys.co</t>
        </is>
      </c>
      <c r="D2642" t="inlineStr">
        <is>
          <t>incident-reporter</t>
        </is>
      </c>
      <c r="E2642">
        <f>HYPERLINK("http://gitlab.osmosys.co/incident-reporter/incident-reporter-api", "OQSHA-API")</f>
        <v/>
      </c>
      <c r="F2642">
        <f>HYPERLINK("http://gitlab.osmosys.co/incident-reporter/incident-reporter-api/-/merge_requests/4448", "Feat/user org grid preferences")</f>
        <v/>
      </c>
      <c r="G2642" t="inlineStr">
        <is>
          <t>feat/user_org_grid_preferences</t>
        </is>
      </c>
      <c r="H2642" t="inlineStr">
        <is>
          <t>sprint-19</t>
        </is>
      </c>
      <c r="I2642" t="inlineStr">
        <is>
          <t>closed</t>
        </is>
      </c>
      <c r="J2642" t="inlineStr"/>
      <c r="K2642" t="inlineStr"/>
      <c r="L2642" t="inlineStr"/>
      <c r="M2642" t="inlineStr"/>
      <c r="N2642" t="inlineStr"/>
      <c r="O2642" t="inlineStr"/>
      <c r="P2642" t="inlineStr"/>
      <c r="Q2642" t="inlineStr"/>
    </row>
    <row r="2643">
      <c r="A2643" t="inlineStr">
        <is>
          <t>samarjeet.k</t>
        </is>
      </c>
      <c r="B2643" t="inlineStr">
        <is>
          <t>Kumar Samarjeet</t>
        </is>
      </c>
      <c r="C2643" t="inlineStr">
        <is>
          <t>samarjeet.k@osmosys.co</t>
        </is>
      </c>
      <c r="D2643" t="inlineStr">
        <is>
          <t>incident-reporter</t>
        </is>
      </c>
      <c r="E2643">
        <f>HYPERLINK("http://gitlab.osmosys.co/incident-reporter/incident-reporter-api", "OQSHA-API")</f>
        <v/>
      </c>
      <c r="F2643">
        <f>HYPERLINK("http://gitlab.osmosys.co/incident-reporter/incident-reporter-api/-/merge_requests/4419", "fix: revert cancel and re approve validation for create ptw history")</f>
        <v/>
      </c>
      <c r="G2643" t="inlineStr">
        <is>
          <t>fix/revert_cancel_reapprove_validaton</t>
        </is>
      </c>
      <c r="H2643" t="inlineStr">
        <is>
          <t>sprint-18</t>
        </is>
      </c>
      <c r="I2643" t="inlineStr">
        <is>
          <t>merged</t>
        </is>
      </c>
      <c r="J2643" t="inlineStr"/>
      <c r="K2643" t="inlineStr"/>
      <c r="L2643" t="inlineStr"/>
      <c r="M2643" t="inlineStr"/>
      <c r="N2643" t="inlineStr"/>
      <c r="O2643" t="inlineStr"/>
      <c r="P2643" t="inlineStr"/>
      <c r="Q2643" t="inlineStr"/>
    </row>
    <row r="2644">
      <c r="A2644" t="inlineStr">
        <is>
          <t>samarjeet.k</t>
        </is>
      </c>
      <c r="B2644" t="inlineStr">
        <is>
          <t>Kumar Samarjeet</t>
        </is>
      </c>
      <c r="C2644" t="inlineStr">
        <is>
          <t>samarjeet.k@osmosys.co</t>
        </is>
      </c>
      <c r="D2644" t="inlineStr">
        <is>
          <t>incident-reporter</t>
        </is>
      </c>
      <c r="E2644">
        <f>HYPERLINK("http://gitlab.osmosys.co/incident-reporter/incident-reporter-api", "OQSHA-API")</f>
        <v/>
      </c>
      <c r="F2644">
        <f>HYPERLINK("http://gitlab.osmosys.co/incident-reporter/incident-reporter-api/-/merge_requests/4413", "fix: ticket notification")</f>
        <v/>
      </c>
      <c r="G2644" t="inlineStr">
        <is>
          <t>fix/ticket_notification</t>
        </is>
      </c>
      <c r="H2644" t="inlineStr">
        <is>
          <t>sprint-18</t>
        </is>
      </c>
      <c r="I2644" t="inlineStr">
        <is>
          <t>merged</t>
        </is>
      </c>
      <c r="J2644" t="inlineStr"/>
      <c r="K2644" t="inlineStr"/>
      <c r="L2644" t="inlineStr"/>
      <c r="M2644" t="inlineStr"/>
      <c r="N2644" t="inlineStr"/>
      <c r="O2644" t="inlineStr"/>
      <c r="P2644" t="inlineStr"/>
      <c r="Q2644" t="inlineStr"/>
    </row>
    <row r="2645">
      <c r="A2645" t="inlineStr">
        <is>
          <t>samarjeet.k</t>
        </is>
      </c>
      <c r="B2645" t="inlineStr">
        <is>
          <t>Kumar Samarjeet</t>
        </is>
      </c>
      <c r="C2645" t="inlineStr">
        <is>
          <t>samarjeet.k@osmosys.co</t>
        </is>
      </c>
      <c r="D2645" t="inlineStr">
        <is>
          <t>incident-reporter</t>
        </is>
      </c>
      <c r="E2645">
        <f>HYPERLINK("http://gitlab.osmosys.co/incident-reporter/incident-reporter-api", "OQSHA-API")</f>
        <v/>
      </c>
      <c r="F2645">
        <f>HYPERLINK("http://gitlab.osmosys.co/incident-reporter/incident-reporter-api/-/merge_requests/4394", "fix: ptw export api")</f>
        <v/>
      </c>
      <c r="G2645" t="inlineStr">
        <is>
          <t>fix/export_ptw_pdf</t>
        </is>
      </c>
      <c r="H2645" t="inlineStr">
        <is>
          <t>sprint-18</t>
        </is>
      </c>
      <c r="I2645" t="inlineStr">
        <is>
          <t>merged</t>
        </is>
      </c>
      <c r="J2645" t="inlineStr">
        <is>
          <t>cd43b7606a3ac6b65de8f7beccd01fa4c6bf332e</t>
        </is>
      </c>
      <c r="K2645">
        <f>HYPERLINK("http://gitlab.osmosys.co/incident-reporter/incident-reporter-api/-/merge_requests/4394#note_243799", "@samarjeet.k  - I don't see N/A in your code")</f>
        <v/>
      </c>
      <c r="L2645" t="inlineStr">
        <is>
          <t>2025-07-29 15:33:23.893 IST</t>
        </is>
      </c>
      <c r="M2645" t="inlineStr">
        <is>
          <t>Sindhusha</t>
        </is>
      </c>
      <c r="N2645" t="inlineStr">
        <is>
          <t>Yes</t>
        </is>
      </c>
      <c r="O2645" t="inlineStr">
        <is>
          <t>No</t>
        </is>
      </c>
      <c r="P2645" t="inlineStr"/>
      <c r="Q2645" t="inlineStr">
        <is>
          <t>Bad</t>
        </is>
      </c>
    </row>
    <row r="2646">
      <c r="A2646" t="inlineStr">
        <is>
          <t>samarjeet.k</t>
        </is>
      </c>
      <c r="B2646" t="inlineStr">
        <is>
          <t>Kumar Samarjeet</t>
        </is>
      </c>
      <c r="C2646" t="inlineStr">
        <is>
          <t>samarjeet.k@osmosys.co</t>
        </is>
      </c>
      <c r="D2646" t="inlineStr">
        <is>
          <t>incident-reporter</t>
        </is>
      </c>
      <c r="E2646">
        <f>HYPERLINK("http://gitlab.osmosys.co/incident-reporter/incident-reporter-api", "OQSHA-API")</f>
        <v/>
      </c>
      <c r="F2646">
        <f>HYPERLINK("http://gitlab.osmosys.co/incident-reporter/incident-reporter-api/-/merge_requests/4389", "fix: update ptw validation status")</f>
        <v/>
      </c>
      <c r="G2646" t="inlineStr">
        <is>
          <t>fix/update_work_permit_validation_v2</t>
        </is>
      </c>
      <c r="H2646" t="inlineStr">
        <is>
          <t>sprint-19</t>
        </is>
      </c>
      <c r="I2646" t="inlineStr">
        <is>
          <t>opened</t>
        </is>
      </c>
      <c r="J2646" t="inlineStr"/>
      <c r="K2646" t="inlineStr"/>
      <c r="L2646" t="inlineStr"/>
      <c r="M2646" t="inlineStr"/>
      <c r="N2646" t="inlineStr"/>
      <c r="O2646" t="inlineStr"/>
      <c r="P2646" t="inlineStr"/>
      <c r="Q2646" t="inlineStr"/>
    </row>
    <row r="2647">
      <c r="A2647" t="inlineStr">
        <is>
          <t>samarjeet.k</t>
        </is>
      </c>
      <c r="B2647" t="inlineStr">
        <is>
          <t>Kumar Samarjeet</t>
        </is>
      </c>
      <c r="C2647" t="inlineStr">
        <is>
          <t>samarjeet.k@osmosys.co</t>
        </is>
      </c>
      <c r="D2647" t="inlineStr">
        <is>
          <t>incident-reporter</t>
        </is>
      </c>
      <c r="E2647">
        <f>HYPERLINK("http://gitlab.osmosys.co/incident-reporter/incident-reporter-api", "OQSHA-API")</f>
        <v/>
      </c>
      <c r="F2647">
        <f>HYPERLINK("http://gitlab.osmosys.co/incident-reporter/incident-reporter-api/-/merge_requests/4388", "fix: delete all user types api")</f>
        <v/>
      </c>
      <c r="G2647" t="inlineStr">
        <is>
          <t>fix/delete_all_user_types_v2</t>
        </is>
      </c>
      <c r="H2647" t="inlineStr">
        <is>
          <t>sprint-18</t>
        </is>
      </c>
      <c r="I2647" t="inlineStr">
        <is>
          <t>merged</t>
        </is>
      </c>
      <c r="J2647" t="inlineStr"/>
      <c r="K2647" t="inlineStr"/>
      <c r="L2647" t="inlineStr"/>
      <c r="M2647" t="inlineStr"/>
      <c r="N2647" t="inlineStr"/>
      <c r="O2647" t="inlineStr"/>
      <c r="P2647" t="inlineStr"/>
      <c r="Q2647" t="inlineStr"/>
    </row>
    <row r="2648">
      <c r="A2648" t="inlineStr">
        <is>
          <t>samarjeet.k</t>
        </is>
      </c>
      <c r="B2648" t="inlineStr">
        <is>
          <t>Kumar Samarjeet</t>
        </is>
      </c>
      <c r="C2648" t="inlineStr">
        <is>
          <t>samarjeet.k@osmosys.co</t>
        </is>
      </c>
      <c r="D2648" t="inlineStr">
        <is>
          <t>incident-reporter</t>
        </is>
      </c>
      <c r="E2648">
        <f>HYPERLINK("http://gitlab.osmosys.co/incident-reporter/incident-reporter-api", "OQSHA-API")</f>
        <v/>
      </c>
      <c r="F2648">
        <f>HYPERLINK("http://gitlab.osmosys.co/incident-reporter/incident-reporter-api/-/merge_requests/4384", "fix: ticket notification")</f>
        <v/>
      </c>
      <c r="G2648" t="inlineStr">
        <is>
          <t>fix/ticket_notification_v2</t>
        </is>
      </c>
      <c r="H2648" t="inlineStr">
        <is>
          <t>sprint-18</t>
        </is>
      </c>
      <c r="I2648" t="inlineStr">
        <is>
          <t>merged</t>
        </is>
      </c>
      <c r="J2648" t="inlineStr"/>
      <c r="K2648" t="inlineStr"/>
      <c r="L2648" t="inlineStr"/>
      <c r="M2648" t="inlineStr"/>
      <c r="N2648" t="inlineStr"/>
      <c r="O2648" t="inlineStr"/>
      <c r="P2648" t="inlineStr"/>
      <c r="Q2648" t="inlineStr"/>
    </row>
    <row r="2649">
      <c r="A2649" t="inlineStr">
        <is>
          <t>samarjeet.k</t>
        </is>
      </c>
      <c r="B2649" t="inlineStr">
        <is>
          <t>Kumar Samarjeet</t>
        </is>
      </c>
      <c r="C2649" t="inlineStr">
        <is>
          <t>samarjeet.k@osmosys.co</t>
        </is>
      </c>
      <c r="D2649" t="inlineStr">
        <is>
          <t>incident-reporter</t>
        </is>
      </c>
      <c r="E2649">
        <f>HYPERLINK("http://gitlab.osmosys.co/incident-reporter/incident-reporter-api", "OQSHA-API")</f>
        <v/>
      </c>
      <c r="F2649">
        <f>HYPERLINK("http://gitlab.osmosys.co/incident-reporter/incident-reporter-api/-/merge_requests/4365", "fix: ticket notification")</f>
        <v/>
      </c>
      <c r="G2649" t="inlineStr">
        <is>
          <t>fix/ticket_notification</t>
        </is>
      </c>
      <c r="H2649" t="inlineStr">
        <is>
          <t>sprint-18</t>
        </is>
      </c>
      <c r="I2649" t="inlineStr">
        <is>
          <t>merged</t>
        </is>
      </c>
      <c r="J2649" t="inlineStr">
        <is>
          <t>606506d6f1d5afa13efafbf9c640b4239120c9d3</t>
        </is>
      </c>
      <c r="K2649">
        <f>HYPERLINK("http://gitlab.osmosys.co/incident-reporter/incident-reporter-api/-/merge_requests/4365#note_243200", "This must be ENUM - Similar to our incidents table.")</f>
        <v/>
      </c>
      <c r="L2649" t="inlineStr">
        <is>
          <t>2025-07-28 18:21:08.452 IST</t>
        </is>
      </c>
      <c r="M2649" t="inlineStr">
        <is>
          <t>Sindhusha</t>
        </is>
      </c>
      <c r="N2649" t="inlineStr">
        <is>
          <t>Yes</t>
        </is>
      </c>
      <c r="O2649" t="inlineStr">
        <is>
          <t>Yes</t>
        </is>
      </c>
      <c r="P2649" t="inlineStr">
        <is>
          <t>Sindhusha</t>
        </is>
      </c>
      <c r="Q2649" t="inlineStr">
        <is>
          <t>Bad</t>
        </is>
      </c>
    </row>
    <row r="2650">
      <c r="A2650" t="inlineStr">
        <is>
          <t>samarjeet.k</t>
        </is>
      </c>
      <c r="B2650" t="inlineStr">
        <is>
          <t>Kumar Samarjeet</t>
        </is>
      </c>
      <c r="C2650" t="inlineStr">
        <is>
          <t>samarjeet.k@osmosys.co</t>
        </is>
      </c>
      <c r="D2650" t="inlineStr">
        <is>
          <t>incident-reporter</t>
        </is>
      </c>
      <c r="E2650">
        <f>HYPERLINK("http://gitlab.osmosys.co/incident-reporter/incident-reporter-api", "OQSHA-API")</f>
        <v/>
      </c>
      <c r="F2650">
        <f>HYPERLINK("http://gitlab.osmosys.co/incident-reporter/incident-reporter-api/-/merge_requests/4365", "fix: ticket notification")</f>
        <v/>
      </c>
      <c r="G2650" t="inlineStr">
        <is>
          <t>fix/ticket_notification</t>
        </is>
      </c>
      <c r="H2650" t="inlineStr">
        <is>
          <t>sprint-18</t>
        </is>
      </c>
      <c r="I2650" t="inlineStr">
        <is>
          <t>merged</t>
        </is>
      </c>
      <c r="J2650" t="inlineStr">
        <is>
          <t>606506d6f1d5afa13efafbf9c640b4239120c9d3</t>
        </is>
      </c>
      <c r="K2650">
        <f>HYPERLINK("http://gitlab.osmosys.co/incident-reporter/incident-reporter-api/-/merge_requests/4365#note_243201", "It can't be, because this table is related to all the modules, Can't make it related to ticket only")</f>
        <v/>
      </c>
      <c r="L2650" t="inlineStr">
        <is>
          <t>2025-07-28 18:22:40.905 IST</t>
        </is>
      </c>
      <c r="M2650" t="inlineStr">
        <is>
          <t>Kumar Samarjeet</t>
        </is>
      </c>
      <c r="N2650" t="inlineStr">
        <is>
          <t>No</t>
        </is>
      </c>
      <c r="O2650" t="inlineStr">
        <is>
          <t>Yes</t>
        </is>
      </c>
      <c r="P2650" t="inlineStr">
        <is>
          <t>Sindhusha</t>
        </is>
      </c>
      <c r="Q2650" t="inlineStr">
        <is>
          <t>Bad</t>
        </is>
      </c>
    </row>
    <row r="2651">
      <c r="A2651" t="inlineStr">
        <is>
          <t>samarjeet.k</t>
        </is>
      </c>
      <c r="B2651" t="inlineStr">
        <is>
          <t>Kumar Samarjeet</t>
        </is>
      </c>
      <c r="C2651" t="inlineStr">
        <is>
          <t>samarjeet.k@osmosys.co</t>
        </is>
      </c>
      <c r="D2651" t="inlineStr">
        <is>
          <t>incident-reporter</t>
        </is>
      </c>
      <c r="E2651">
        <f>HYPERLINK("http://gitlab.osmosys.co/incident-reporter/incident-reporter-api", "OQSHA-API")</f>
        <v/>
      </c>
      <c r="F2651">
        <f>HYPERLINK("http://gitlab.osmosys.co/incident-reporter/incident-reporter-api/-/merge_requests/4365", "fix: ticket notification")</f>
        <v/>
      </c>
      <c r="G2651" t="inlineStr">
        <is>
          <t>fix/ticket_notification</t>
        </is>
      </c>
      <c r="H2651" t="inlineStr">
        <is>
          <t>sprint-18</t>
        </is>
      </c>
      <c r="I2651" t="inlineStr">
        <is>
          <t>merged</t>
        </is>
      </c>
      <c r="J2651" t="inlineStr">
        <is>
          <t>606506d6f1d5afa13efafbf9c640b4239120c9d3</t>
        </is>
      </c>
      <c r="K2651">
        <f>HYPERLINK("http://gitlab.osmosys.co/incident-reporter/incident-reporter-api/-/merge_requests/4365#note_243206", "Ok. We will anyways have status id later for this as a part of Lakhan's task. You can mention it as a comment in his task.")</f>
        <v/>
      </c>
      <c r="L2651" t="inlineStr">
        <is>
          <t>2025-07-28 18:34:45.951 IST</t>
        </is>
      </c>
      <c r="M2651" t="inlineStr">
        <is>
          <t>Sindhusha</t>
        </is>
      </c>
      <c r="N2651" t="inlineStr">
        <is>
          <t>Yes</t>
        </is>
      </c>
      <c r="O2651" t="inlineStr">
        <is>
          <t>Yes</t>
        </is>
      </c>
      <c r="P2651" t="inlineStr">
        <is>
          <t>Sindhusha</t>
        </is>
      </c>
      <c r="Q2651" t="inlineStr">
        <is>
          <t>Bad</t>
        </is>
      </c>
    </row>
    <row r="2652">
      <c r="A2652" t="inlineStr">
        <is>
          <t>samarjeet.k</t>
        </is>
      </c>
      <c r="B2652" t="inlineStr">
        <is>
          <t>Kumar Samarjeet</t>
        </is>
      </c>
      <c r="C2652" t="inlineStr">
        <is>
          <t>samarjeet.k@osmosys.co</t>
        </is>
      </c>
      <c r="D2652" t="inlineStr">
        <is>
          <t>incident-reporter</t>
        </is>
      </c>
      <c r="E2652">
        <f>HYPERLINK("http://gitlab.osmosys.co/incident-reporter/incident-reporter-api", "OQSHA-API")</f>
        <v/>
      </c>
      <c r="F2652">
        <f>HYPERLINK("http://gitlab.osmosys.co/incident-reporter/incident-reporter-api/-/merge_requests/4336", "fix: create hira issue")</f>
        <v/>
      </c>
      <c r="G2652" t="inlineStr">
        <is>
          <t>fix/createHira</t>
        </is>
      </c>
      <c r="H2652" t="inlineStr">
        <is>
          <t>sprint-17</t>
        </is>
      </c>
      <c r="I2652" t="inlineStr">
        <is>
          <t>closed</t>
        </is>
      </c>
      <c r="J2652" t="inlineStr">
        <is>
          <t>bcfcb5c6ee39caaed54f1ba91f56df67e4daebb9</t>
        </is>
      </c>
      <c r="K2652">
        <f>HYPERLINK("http://gitlab.osmosys.co/incident-reporter/incident-reporter-api/-/merge_requests/4336#note_241753", "Condition is handled as a part of this PR - https://gitlab.osmosys.co/incident-reporter/incident-reporter-api/-/merge_requests/4337/diffs")</f>
        <v/>
      </c>
      <c r="L2652" t="inlineStr">
        <is>
          <t>2025-07-25 11:07:02.255 IST</t>
        </is>
      </c>
      <c r="M2652" t="inlineStr">
        <is>
          <t>Sindhusha</t>
        </is>
      </c>
      <c r="N2652" t="inlineStr">
        <is>
          <t>Yes</t>
        </is>
      </c>
      <c r="O2652" t="inlineStr">
        <is>
          <t>No</t>
        </is>
      </c>
      <c r="P2652" t="inlineStr"/>
      <c r="Q2652" t="inlineStr">
        <is>
          <t>Neutral</t>
        </is>
      </c>
    </row>
    <row r="2653">
      <c r="A2653" t="inlineStr">
        <is>
          <t>samarjeet.k</t>
        </is>
      </c>
      <c r="B2653" t="inlineStr">
        <is>
          <t>Kumar Samarjeet</t>
        </is>
      </c>
      <c r="C2653" t="inlineStr">
        <is>
          <t>samarjeet.k@osmosys.co</t>
        </is>
      </c>
      <c r="D2653" t="inlineStr">
        <is>
          <t>incident-reporter</t>
        </is>
      </c>
      <c r="E2653">
        <f>HYPERLINK("http://gitlab.osmosys.co/incident-reporter/incident-reporter-api", "OQSHA-API")</f>
        <v/>
      </c>
      <c r="F2653">
        <f>HYPERLINK("http://gitlab.osmosys.co/incident-reporter/incident-reporter-api/-/merge_requests/4335", "fix: add logger for incident pdf")</f>
        <v/>
      </c>
      <c r="G2653" t="inlineStr">
        <is>
          <t>fix/add_logger_for_pdf</t>
        </is>
      </c>
      <c r="H2653" t="inlineStr">
        <is>
          <t>sprint-17</t>
        </is>
      </c>
      <c r="I2653" t="inlineStr">
        <is>
          <t>merged</t>
        </is>
      </c>
      <c r="J2653" t="inlineStr"/>
      <c r="K2653" t="inlineStr"/>
      <c r="L2653" t="inlineStr"/>
      <c r="M2653" t="inlineStr"/>
      <c r="N2653" t="inlineStr"/>
      <c r="O2653" t="inlineStr"/>
      <c r="P2653" t="inlineStr"/>
      <c r="Q2653" t="inlineStr"/>
    </row>
    <row r="2654">
      <c r="A2654" t="inlineStr">
        <is>
          <t>samarjeet.k</t>
        </is>
      </c>
      <c r="B2654" t="inlineStr">
        <is>
          <t>Kumar Samarjeet</t>
        </is>
      </c>
      <c r="C2654" t="inlineStr">
        <is>
          <t>samarjeet.k@osmosys.co</t>
        </is>
      </c>
      <c r="D2654" t="inlineStr">
        <is>
          <t>incident-reporter</t>
        </is>
      </c>
      <c r="E2654">
        <f>HYPERLINK("http://gitlab.osmosys.co/incident-reporter/incident-reporter-api", "OQSHA-API")</f>
        <v/>
      </c>
      <c r="F2654">
        <f>HYPERLINK("http://gitlab.osmosys.co/incident-reporter/incident-reporter-api/-/merge_requests/4333", "fix: moc created on")</f>
        <v/>
      </c>
      <c r="G2654" t="inlineStr">
        <is>
          <t>fix/moc_created_on</t>
        </is>
      </c>
      <c r="H2654" t="inlineStr">
        <is>
          <t>sprint-17</t>
        </is>
      </c>
      <c r="I2654" t="inlineStr">
        <is>
          <t>merged</t>
        </is>
      </c>
      <c r="J2654" t="inlineStr"/>
      <c r="K2654" t="inlineStr"/>
      <c r="L2654" t="inlineStr"/>
      <c r="M2654" t="inlineStr"/>
      <c r="N2654" t="inlineStr"/>
      <c r="O2654" t="inlineStr"/>
      <c r="P2654" t="inlineStr"/>
      <c r="Q2654" t="inlineStr"/>
    </row>
    <row r="2655">
      <c r="A2655" t="inlineStr">
        <is>
          <t>samarjeet.k</t>
        </is>
      </c>
      <c r="B2655" t="inlineStr">
        <is>
          <t>Kumar Samarjeet</t>
        </is>
      </c>
      <c r="C2655" t="inlineStr">
        <is>
          <t>samarjeet.k@osmosys.co</t>
        </is>
      </c>
      <c r="D2655" t="inlineStr">
        <is>
          <t>incident-reporter</t>
        </is>
      </c>
      <c r="E2655">
        <f>HYPERLINK("http://gitlab.osmosys.co/incident-reporter/incident-reporter-api", "OQSHA-API")</f>
        <v/>
      </c>
      <c r="F2655">
        <f>HYPERLINK("http://gitlab.osmosys.co/incident-reporter/incident-reporter-api/-/merge_requests/4321", "fix: ticket description")</f>
        <v/>
      </c>
      <c r="G2655" t="inlineStr">
        <is>
          <t>fix/ticket_description</t>
        </is>
      </c>
      <c r="H2655" t="inlineStr">
        <is>
          <t>sprint-17</t>
        </is>
      </c>
      <c r="I2655" t="inlineStr">
        <is>
          <t>merged</t>
        </is>
      </c>
      <c r="J2655" t="inlineStr"/>
      <c r="K2655" t="inlineStr"/>
      <c r="L2655" t="inlineStr"/>
      <c r="M2655" t="inlineStr"/>
      <c r="N2655" t="inlineStr"/>
      <c r="O2655" t="inlineStr"/>
      <c r="P2655" t="inlineStr"/>
      <c r="Q2655" t="inlineStr"/>
    </row>
    <row r="2656">
      <c r="A2656" t="inlineStr">
        <is>
          <t>samarjeet.k</t>
        </is>
      </c>
      <c r="B2656" t="inlineStr">
        <is>
          <t>Kumar Samarjeet</t>
        </is>
      </c>
      <c r="C2656" t="inlineStr">
        <is>
          <t>samarjeet.k@osmosys.co</t>
        </is>
      </c>
      <c r="D2656" t="inlineStr">
        <is>
          <t>incident-reporter</t>
        </is>
      </c>
      <c r="E2656">
        <f>HYPERLINK("http://gitlab.osmosys.co/incident-reporter/incident-reporter-api", "OQSHA-API")</f>
        <v/>
      </c>
      <c r="F2656">
        <f>HYPERLINK("http://gitlab.osmosys.co/incident-reporter/incident-reporter-api/-/merge_requests/4317", "merge: sprint-17 to sprint-18")</f>
        <v/>
      </c>
      <c r="G2656" t="inlineStr">
        <is>
          <t>merge/sprint-17_to_sprint-18</t>
        </is>
      </c>
      <c r="H2656" t="inlineStr">
        <is>
          <t>sprint-18</t>
        </is>
      </c>
      <c r="I2656" t="inlineStr">
        <is>
          <t>merged</t>
        </is>
      </c>
      <c r="J2656" t="inlineStr"/>
      <c r="K2656" t="inlineStr"/>
      <c r="L2656" t="inlineStr"/>
      <c r="M2656" t="inlineStr"/>
      <c r="N2656" t="inlineStr"/>
      <c r="O2656" t="inlineStr"/>
      <c r="P2656" t="inlineStr"/>
      <c r="Q2656" t="inlineStr"/>
    </row>
    <row r="2657">
      <c r="A2657" t="inlineStr">
        <is>
          <t>samarjeet.k</t>
        </is>
      </c>
      <c r="B2657" t="inlineStr">
        <is>
          <t>Kumar Samarjeet</t>
        </is>
      </c>
      <c r="C2657" t="inlineStr">
        <is>
          <t>samarjeet.k@osmosys.co</t>
        </is>
      </c>
      <c r="D2657" t="inlineStr">
        <is>
          <t>incident-reporter</t>
        </is>
      </c>
      <c r="E2657">
        <f>HYPERLINK("http://gitlab.osmosys.co/incident-reporter/incident-reporter-api", "OQSHA-API")</f>
        <v/>
      </c>
      <c r="F2657">
        <f>HYPERLINK("http://gitlab.osmosys.co/incident-reporter/incident-reporter-api/-/merge_requests/4309", "fix: add custom name to subsheets of export ticket csv")</f>
        <v/>
      </c>
      <c r="G2657" t="inlineStr">
        <is>
          <t>fix/export_ticket</t>
        </is>
      </c>
      <c r="H2657" t="inlineStr">
        <is>
          <t>sprint-17</t>
        </is>
      </c>
      <c r="I2657" t="inlineStr">
        <is>
          <t>merged</t>
        </is>
      </c>
      <c r="J2657" t="inlineStr"/>
      <c r="K2657" t="inlineStr"/>
      <c r="L2657" t="inlineStr"/>
      <c r="M2657" t="inlineStr"/>
      <c r="N2657" t="inlineStr"/>
      <c r="O2657" t="inlineStr"/>
      <c r="P2657" t="inlineStr"/>
      <c r="Q2657" t="inlineStr"/>
    </row>
    <row r="2658">
      <c r="A2658" t="inlineStr">
        <is>
          <t>samarjeet.k</t>
        </is>
      </c>
      <c r="B2658" t="inlineStr">
        <is>
          <t>Kumar Samarjeet</t>
        </is>
      </c>
      <c r="C2658" t="inlineStr">
        <is>
          <t>samarjeet.k@osmosys.co</t>
        </is>
      </c>
      <c r="D2658" t="inlineStr">
        <is>
          <t>incident-reporter</t>
        </is>
      </c>
      <c r="E2658">
        <f>HYPERLINK("http://gitlab.osmosys.co/incident-reporter/incident-reporter-api", "OQSHA-API")</f>
        <v/>
      </c>
      <c r="F2658">
        <f>HYPERLINK("http://gitlab.osmosys.co/incident-reporter/incident-reporter-api/-/merge_requests/4305", "fix: update ticket name to custom module name")</f>
        <v/>
      </c>
      <c r="G2658" t="inlineStr">
        <is>
          <t>fix/ticket_update_comment</t>
        </is>
      </c>
      <c r="H2658" t="inlineStr">
        <is>
          <t>sprint-17</t>
        </is>
      </c>
      <c r="I2658" t="inlineStr">
        <is>
          <t>merged</t>
        </is>
      </c>
      <c r="J2658" t="inlineStr"/>
      <c r="K2658" t="inlineStr"/>
      <c r="L2658" t="inlineStr"/>
      <c r="M2658" t="inlineStr"/>
      <c r="N2658" t="inlineStr"/>
      <c r="O2658" t="inlineStr"/>
      <c r="P2658" t="inlineStr"/>
      <c r="Q2658" t="inlineStr"/>
    </row>
    <row r="2659">
      <c r="A2659" t="inlineStr">
        <is>
          <t>samarjeet.k</t>
        </is>
      </c>
      <c r="B2659" t="inlineStr">
        <is>
          <t>Kumar Samarjeet</t>
        </is>
      </c>
      <c r="C2659" t="inlineStr">
        <is>
          <t>samarjeet.k@osmosys.co</t>
        </is>
      </c>
      <c r="D2659" t="inlineStr">
        <is>
          <t>incident-reporter</t>
        </is>
      </c>
      <c r="E2659">
        <f>HYPERLINK("http://gitlab.osmosys.co/incident-reporter/incident-reporter-api", "OQSHA-API")</f>
        <v/>
      </c>
      <c r="F2659">
        <f>HYPERLINK("http://gitlab.osmosys.co/incident-reporter/incident-reporter-api/-/merge_requests/4303", "fix: revert TS changes")</f>
        <v/>
      </c>
      <c r="G2659" t="inlineStr">
        <is>
          <t>fix/revert_TS_changes</t>
        </is>
      </c>
      <c r="H2659" t="inlineStr">
        <is>
          <t>sprint-17</t>
        </is>
      </c>
      <c r="I2659" t="inlineStr">
        <is>
          <t>merged</t>
        </is>
      </c>
      <c r="J2659" t="inlineStr"/>
      <c r="K2659" t="inlineStr"/>
      <c r="L2659" t="inlineStr"/>
      <c r="M2659" t="inlineStr"/>
      <c r="N2659" t="inlineStr"/>
      <c r="O2659" t="inlineStr"/>
      <c r="P2659" t="inlineStr"/>
      <c r="Q2659" t="inlineStr"/>
    </row>
    <row r="2660">
      <c r="A2660" t="inlineStr">
        <is>
          <t>samarjeet.k</t>
        </is>
      </c>
      <c r="B2660" t="inlineStr">
        <is>
          <t>Kumar Samarjeet</t>
        </is>
      </c>
      <c r="C2660" t="inlineStr">
        <is>
          <t>samarjeet.k@osmosys.co</t>
        </is>
      </c>
      <c r="D2660" t="inlineStr">
        <is>
          <t>incident-reporter</t>
        </is>
      </c>
      <c r="E2660">
        <f>HYPERLINK("http://gitlab.osmosys.co/incident-reporter/incident-reporter-api", "OQSHA-API")</f>
        <v/>
      </c>
      <c r="F2660">
        <f>HYPERLINK("http://gitlab.osmosys.co/incident-reporter/incident-reporter-api/-/merge_requests/4299", "fix: night work permit")</f>
        <v/>
      </c>
      <c r="G2660" t="inlineStr">
        <is>
          <t>fix/night_work_permit_v2</t>
        </is>
      </c>
      <c r="H2660" t="inlineStr">
        <is>
          <t>sprint-18</t>
        </is>
      </c>
      <c r="I2660" t="inlineStr">
        <is>
          <t>merged</t>
        </is>
      </c>
      <c r="J2660" t="inlineStr"/>
      <c r="K2660" t="inlineStr"/>
      <c r="L2660" t="inlineStr"/>
      <c r="M2660" t="inlineStr"/>
      <c r="N2660" t="inlineStr"/>
      <c r="O2660" t="inlineStr"/>
      <c r="P2660" t="inlineStr"/>
      <c r="Q2660" t="inlineStr"/>
    </row>
    <row r="2661">
      <c r="A2661" t="inlineStr">
        <is>
          <t>samarjeet.k</t>
        </is>
      </c>
      <c r="B2661" t="inlineStr">
        <is>
          <t>Kumar Samarjeet</t>
        </is>
      </c>
      <c r="C2661" t="inlineStr">
        <is>
          <t>samarjeet.k@osmosys.co</t>
        </is>
      </c>
      <c r="D2661" t="inlineStr">
        <is>
          <t>incident-reporter</t>
        </is>
      </c>
      <c r="E2661">
        <f>HYPERLINK("http://gitlab.osmosys.co/incident-reporter/incident-reporter-api", "OQSHA-API")</f>
        <v/>
      </c>
      <c r="F2661">
        <f>HYPERLINK("http://gitlab.osmosys.co/incident-reporter/incident-reporter-api/-/merge_requests/4287", "fix: create moc comments api")</f>
        <v/>
      </c>
      <c r="G2661" t="inlineStr">
        <is>
          <t>fix/update_moc_status</t>
        </is>
      </c>
      <c r="H2661" t="inlineStr">
        <is>
          <t>sprint-17</t>
        </is>
      </c>
      <c r="I2661" t="inlineStr">
        <is>
          <t>merged</t>
        </is>
      </c>
      <c r="J2661" t="inlineStr"/>
      <c r="K2661" t="inlineStr"/>
      <c r="L2661" t="inlineStr"/>
      <c r="M2661" t="inlineStr"/>
      <c r="N2661" t="inlineStr"/>
      <c r="O2661" t="inlineStr"/>
      <c r="P2661" t="inlineStr"/>
      <c r="Q2661" t="inlineStr"/>
    </row>
    <row r="2662">
      <c r="A2662" t="inlineStr">
        <is>
          <t>samarjeet.k</t>
        </is>
      </c>
      <c r="B2662" t="inlineStr">
        <is>
          <t>Kumar Samarjeet</t>
        </is>
      </c>
      <c r="C2662" t="inlineStr">
        <is>
          <t>samarjeet.k@osmosys.co</t>
        </is>
      </c>
      <c r="D2662" t="inlineStr">
        <is>
          <t>incident-reporter</t>
        </is>
      </c>
      <c r="E2662">
        <f>HYPERLINK("http://gitlab.osmosys.co/incident-reporter/incident-reporter-api", "OQSHA-API")</f>
        <v/>
      </c>
      <c r="F2662">
        <f>HYPERLINK("http://gitlab.osmosys.co/incident-reporter/incident-reporter-api/-/merge_requests/4285", "fix: moc notification")</f>
        <v/>
      </c>
      <c r="G2662" t="inlineStr">
        <is>
          <t>fix/moc_notification</t>
        </is>
      </c>
      <c r="H2662" t="inlineStr">
        <is>
          <t>sprint-17</t>
        </is>
      </c>
      <c r="I2662" t="inlineStr">
        <is>
          <t>merged</t>
        </is>
      </c>
      <c r="J2662" t="inlineStr"/>
      <c r="K2662" t="inlineStr"/>
      <c r="L2662" t="inlineStr"/>
      <c r="M2662" t="inlineStr"/>
      <c r="N2662" t="inlineStr"/>
      <c r="O2662" t="inlineStr"/>
      <c r="P2662" t="inlineStr"/>
      <c r="Q2662" t="inlineStr"/>
    </row>
    <row r="2663">
      <c r="A2663" t="inlineStr">
        <is>
          <t>samarjeet.k</t>
        </is>
      </c>
      <c r="B2663" t="inlineStr">
        <is>
          <t>Kumar Samarjeet</t>
        </is>
      </c>
      <c r="C2663" t="inlineStr">
        <is>
          <t>samarjeet.k@osmosys.co</t>
        </is>
      </c>
      <c r="D2663" t="inlineStr">
        <is>
          <t>incident-reporter</t>
        </is>
      </c>
      <c r="E2663">
        <f>HYPERLINK("http://gitlab.osmosys.co/incident-reporter/incident-reporter-api", "OQSHA-API")</f>
        <v/>
      </c>
      <c r="F2663">
        <f>HYPERLINK("http://gitlab.osmosys.co/incident-reporter/incident-reporter-api/-/merge_requests/4279", "feat: change the default ticket question to Description")</f>
        <v/>
      </c>
      <c r="G2663" t="inlineStr">
        <is>
          <t>feat/change_the_default_ticket_question</t>
        </is>
      </c>
      <c r="H2663" t="inlineStr">
        <is>
          <t>sprint-17</t>
        </is>
      </c>
      <c r="I2663" t="inlineStr">
        <is>
          <t>merged</t>
        </is>
      </c>
      <c r="J2663" t="inlineStr"/>
      <c r="K2663" t="inlineStr"/>
      <c r="L2663" t="inlineStr"/>
      <c r="M2663" t="inlineStr"/>
      <c r="N2663" t="inlineStr"/>
      <c r="O2663" t="inlineStr"/>
      <c r="P2663" t="inlineStr"/>
      <c r="Q2663" t="inlineStr"/>
    </row>
    <row r="2664">
      <c r="A2664" t="inlineStr">
        <is>
          <t>samarjeet.k</t>
        </is>
      </c>
      <c r="B2664" t="inlineStr">
        <is>
          <t>Kumar Samarjeet</t>
        </is>
      </c>
      <c r="C2664" t="inlineStr">
        <is>
          <t>samarjeet.k@osmosys.co</t>
        </is>
      </c>
      <c r="D2664" t="inlineStr">
        <is>
          <t>incident-reporter</t>
        </is>
      </c>
      <c r="E2664">
        <f>HYPERLINK("http://gitlab.osmosys.co/incident-reporter/incident-reporter-api", "OQSHA-API")</f>
        <v/>
      </c>
      <c r="F2664">
        <f>HYPERLINK("http://gitlab.osmosys.co/incident-reporter/incident-reporter-api/-/merge_requests/4266", "feat: add missing changes from the ticket module customization")</f>
        <v/>
      </c>
      <c r="G2664" t="inlineStr">
        <is>
          <t>feat/add_missing_changes_from_ticket_changes</t>
        </is>
      </c>
      <c r="H2664" t="inlineStr">
        <is>
          <t>sprint-17</t>
        </is>
      </c>
      <c r="I2664" t="inlineStr">
        <is>
          <t>merged</t>
        </is>
      </c>
      <c r="J2664" t="inlineStr"/>
      <c r="K2664" t="inlineStr"/>
      <c r="L2664" t="inlineStr"/>
      <c r="M2664" t="inlineStr"/>
      <c r="N2664" t="inlineStr"/>
      <c r="O2664" t="inlineStr"/>
      <c r="P2664" t="inlineStr"/>
      <c r="Q2664" t="inlineStr"/>
    </row>
    <row r="2665">
      <c r="A2665" t="inlineStr">
        <is>
          <t>samarjeet.k</t>
        </is>
      </c>
      <c r="B2665" t="inlineStr">
        <is>
          <t>Kumar Samarjeet</t>
        </is>
      </c>
      <c r="C2665" t="inlineStr">
        <is>
          <t>samarjeet.k@osmosys.co</t>
        </is>
      </c>
      <c r="D2665" t="inlineStr">
        <is>
          <t>incident-reporter</t>
        </is>
      </c>
      <c r="E2665">
        <f>HYPERLINK("http://gitlab.osmosys.co/incident-reporter/incident-reporter-api", "OQSHA-API")</f>
        <v/>
      </c>
      <c r="F2665">
        <f>HYPERLINK("http://gitlab.osmosys.co/incident-reporter/incident-reporter-api/-/merge_requests/4264", "feat: add module custom name migration")</f>
        <v/>
      </c>
      <c r="G2665" t="inlineStr">
        <is>
          <t>feat/add_migration_custom_name_table</t>
        </is>
      </c>
      <c r="H2665" t="inlineStr">
        <is>
          <t>sprint-17</t>
        </is>
      </c>
      <c r="I2665" t="inlineStr">
        <is>
          <t>merged</t>
        </is>
      </c>
      <c r="J2665" t="inlineStr"/>
      <c r="K2665" t="inlineStr"/>
      <c r="L2665" t="inlineStr"/>
      <c r="M2665" t="inlineStr"/>
      <c r="N2665" t="inlineStr"/>
      <c r="O2665" t="inlineStr"/>
      <c r="P2665" t="inlineStr"/>
      <c r="Q2665" t="inlineStr"/>
    </row>
    <row r="2666">
      <c r="A2666" t="inlineStr">
        <is>
          <t>samarjeet.k</t>
        </is>
      </c>
      <c r="B2666" t="inlineStr">
        <is>
          <t>Kumar Samarjeet</t>
        </is>
      </c>
      <c r="C2666" t="inlineStr">
        <is>
          <t>samarjeet.k@osmosys.co</t>
        </is>
      </c>
      <c r="D2666" t="inlineStr">
        <is>
          <t>incident-reporter</t>
        </is>
      </c>
      <c r="E2666">
        <f>HYPERLINK("http://gitlab.osmosys.co/incident-reporter/incident-reporter-api", "OQSHA-API")</f>
        <v/>
      </c>
      <c r="F2666">
        <f>HYPERLINK("http://gitlab.osmosys.co/incident-reporter/incident-reporter-api/-/merge_requests/4258", "feat: add module name customization for ticket")</f>
        <v/>
      </c>
      <c r="G2666" t="inlineStr">
        <is>
          <t>feat/tickets_to_safety_alerts</t>
        </is>
      </c>
      <c r="H2666" t="inlineStr">
        <is>
          <t>sprint-17</t>
        </is>
      </c>
      <c r="I2666" t="inlineStr">
        <is>
          <t>merged</t>
        </is>
      </c>
      <c r="J2666" t="inlineStr"/>
      <c r="K2666" t="inlineStr"/>
      <c r="L2666" t="inlineStr"/>
      <c r="M2666" t="inlineStr"/>
      <c r="N2666" t="inlineStr"/>
      <c r="O2666" t="inlineStr"/>
      <c r="P2666" t="inlineStr"/>
      <c r="Q2666" t="inlineStr"/>
    </row>
    <row r="2667">
      <c r="A2667" t="inlineStr">
        <is>
          <t>samarjeet.k</t>
        </is>
      </c>
      <c r="B2667" t="inlineStr">
        <is>
          <t>Kumar Samarjeet</t>
        </is>
      </c>
      <c r="C2667" t="inlineStr">
        <is>
          <t>samarjeet.k@osmosys.co</t>
        </is>
      </c>
      <c r="D2667" t="inlineStr">
        <is>
          <t>incident-reporter</t>
        </is>
      </c>
      <c r="E2667">
        <f>HYPERLINK("http://gitlab.osmosys.co/incident-reporter/incident-reporter-api", "OQSHA-API")</f>
        <v/>
      </c>
      <c r="F2667">
        <f>HYPERLINK("http://gitlab.osmosys.co/incident-reporter/incident-reporter-api/-/merge_requests/4239", "feat: pwa improvements")</f>
        <v/>
      </c>
      <c r="G2667" t="inlineStr">
        <is>
          <t>feat/pwa_improvements</t>
        </is>
      </c>
      <c r="H2667" t="inlineStr">
        <is>
          <t>sprint-18</t>
        </is>
      </c>
      <c r="I2667" t="inlineStr">
        <is>
          <t>merged</t>
        </is>
      </c>
      <c r="J2667" t="inlineStr"/>
      <c r="K2667" t="inlineStr"/>
      <c r="L2667" t="inlineStr"/>
      <c r="M2667" t="inlineStr"/>
      <c r="N2667" t="inlineStr"/>
      <c r="O2667" t="inlineStr"/>
      <c r="P2667" t="inlineStr"/>
      <c r="Q2667" t="inlineStr"/>
    </row>
    <row r="2668">
      <c r="A2668" t="inlineStr">
        <is>
          <t>samarjeet.k</t>
        </is>
      </c>
      <c r="B2668" t="inlineStr">
        <is>
          <t>Kumar Samarjeet</t>
        </is>
      </c>
      <c r="C2668" t="inlineStr">
        <is>
          <t>samarjeet.k@osmosys.co</t>
        </is>
      </c>
      <c r="D2668" t="inlineStr">
        <is>
          <t>incident-reporter</t>
        </is>
      </c>
      <c r="E2668">
        <f>HYPERLINK("http://gitlab.osmosys.co/incident-reporter/incident-reporter-api", "OQSHA-API")</f>
        <v/>
      </c>
      <c r="F2668">
        <f>HYPERLINK("http://gitlab.osmosys.co/incident-reporter/incident-reporter-api/-/merge_requests/4233", "fix: add owner ids in get dashboard organisation by id api")</f>
        <v/>
      </c>
      <c r="G2668" t="inlineStr">
        <is>
          <t>fix/update_dashboard_organisation</t>
        </is>
      </c>
      <c r="H2668" t="inlineStr">
        <is>
          <t>sprint-17</t>
        </is>
      </c>
      <c r="I2668" t="inlineStr">
        <is>
          <t>merged</t>
        </is>
      </c>
      <c r="J2668" t="inlineStr"/>
      <c r="K2668" t="inlineStr"/>
      <c r="L2668" t="inlineStr"/>
      <c r="M2668" t="inlineStr"/>
      <c r="N2668" t="inlineStr"/>
      <c r="O2668" t="inlineStr"/>
      <c r="P2668" t="inlineStr"/>
      <c r="Q2668" t="inlineStr"/>
    </row>
    <row r="2669">
      <c r="A2669" t="inlineStr">
        <is>
          <t>samarjeet.k</t>
        </is>
      </c>
      <c r="B2669" t="inlineStr">
        <is>
          <t>Kumar Samarjeet</t>
        </is>
      </c>
      <c r="C2669" t="inlineStr">
        <is>
          <t>samarjeet.k@osmosys.co</t>
        </is>
      </c>
      <c r="D2669" t="inlineStr">
        <is>
          <t>incident-reporter</t>
        </is>
      </c>
      <c r="E2669">
        <f>HYPERLINK("http://gitlab.osmosys.co/incident-reporter/incident-reporter-api", "OQSHA-API")</f>
        <v/>
      </c>
      <c r="F2669">
        <f>HYPERLINK("http://gitlab.osmosys.co/incident-reporter/incident-reporter-api/-/merge_requests/4212", "fix: night work permit")</f>
        <v/>
      </c>
      <c r="G2669" t="inlineStr">
        <is>
          <t>fix/night_work_permit</t>
        </is>
      </c>
      <c r="H2669" t="inlineStr">
        <is>
          <t>sprint-17</t>
        </is>
      </c>
      <c r="I2669" t="inlineStr">
        <is>
          <t>opened</t>
        </is>
      </c>
      <c r="J2669" t="inlineStr">
        <is>
          <t>32e0b306cf3059fbbd0d718025e7a9bd365ea5ac</t>
        </is>
      </c>
      <c r="K2669">
        <f>HYPERLINK("http://gitlab.osmosys.co/incident-reporter/incident-reporter-api/-/merge_requests/4212#note_239130", "Remove the columns that are not required.")</f>
        <v/>
      </c>
      <c r="L2669" t="inlineStr">
        <is>
          <t>2025-07-21 11:28:24.528 IST</t>
        </is>
      </c>
      <c r="M2669" t="inlineStr">
        <is>
          <t>Sameer Shaik</t>
        </is>
      </c>
      <c r="N2669" t="inlineStr">
        <is>
          <t>Yes</t>
        </is>
      </c>
      <c r="O2669" t="inlineStr">
        <is>
          <t>Yes</t>
        </is>
      </c>
      <c r="P2669" t="inlineStr">
        <is>
          <t>Sameer Shaik</t>
        </is>
      </c>
      <c r="Q2669" t="inlineStr">
        <is>
          <t>Bad</t>
        </is>
      </c>
    </row>
    <row r="2670">
      <c r="A2670" t="inlineStr">
        <is>
          <t>samarjeet.k</t>
        </is>
      </c>
      <c r="B2670" t="inlineStr">
        <is>
          <t>Kumar Samarjeet</t>
        </is>
      </c>
      <c r="C2670" t="inlineStr">
        <is>
          <t>samarjeet.k@osmosys.co</t>
        </is>
      </c>
      <c r="D2670" t="inlineStr">
        <is>
          <t>incident-reporter</t>
        </is>
      </c>
      <c r="E2670">
        <f>HYPERLINK("http://gitlab.osmosys.co/incident-reporter/incident-reporter-api", "OQSHA-API")</f>
        <v/>
      </c>
      <c r="F2670">
        <f>HYPERLINK("http://gitlab.osmosys.co/incident-reporter/incident-reporter-api/-/merge_requests/4212", "fix: night work permit")</f>
        <v/>
      </c>
      <c r="G2670" t="inlineStr">
        <is>
          <t>fix/night_work_permit</t>
        </is>
      </c>
      <c r="H2670" t="inlineStr">
        <is>
          <t>sprint-17</t>
        </is>
      </c>
      <c r="I2670" t="inlineStr">
        <is>
          <t>opened</t>
        </is>
      </c>
      <c r="J2670" t="inlineStr">
        <is>
          <t>32e0b306cf3059fbbd0d718025e7a9bd365ea5ac</t>
        </is>
      </c>
      <c r="K2670">
        <f>HYPERLINK("http://gitlab.osmosys.co/incident-reporter/incident-reporter-api/-/merge_requests/4212#note_240126", "Removed those columns which are not required")</f>
        <v/>
      </c>
      <c r="L2670" t="inlineStr">
        <is>
          <t>2025-07-22 13:01:16.610 IST</t>
        </is>
      </c>
      <c r="M2670" t="inlineStr">
        <is>
          <t>Kumar Samarjeet</t>
        </is>
      </c>
      <c r="N2670" t="inlineStr">
        <is>
          <t>No</t>
        </is>
      </c>
      <c r="O2670" t="inlineStr">
        <is>
          <t>Yes</t>
        </is>
      </c>
      <c r="P2670" t="inlineStr">
        <is>
          <t>Sameer Shaik</t>
        </is>
      </c>
      <c r="Q2670" t="inlineStr">
        <is>
          <t>Bad</t>
        </is>
      </c>
    </row>
    <row r="2671">
      <c r="A2671" t="inlineStr">
        <is>
          <t>samarjeet.k</t>
        </is>
      </c>
      <c r="B2671" t="inlineStr">
        <is>
          <t>Kumar Samarjeet</t>
        </is>
      </c>
      <c r="C2671" t="inlineStr">
        <is>
          <t>samarjeet.k@osmosys.co</t>
        </is>
      </c>
      <c r="D2671" t="inlineStr">
        <is>
          <t>incident-reporter</t>
        </is>
      </c>
      <c r="E2671">
        <f>HYPERLINK("http://gitlab.osmosys.co/incident-reporter/incident-reporter-api", "OQSHA-API")</f>
        <v/>
      </c>
      <c r="F2671">
        <f>HYPERLINK("http://gitlab.osmosys.co/incident-reporter/incident-reporter-api/-/merge_requests/4212", "fix: night work permit")</f>
        <v/>
      </c>
      <c r="G2671" t="inlineStr">
        <is>
          <t>fix/night_work_permit</t>
        </is>
      </c>
      <c r="H2671" t="inlineStr">
        <is>
          <t>sprint-17</t>
        </is>
      </c>
      <c r="I2671" t="inlineStr">
        <is>
          <t>opened</t>
        </is>
      </c>
      <c r="J2671" t="inlineStr">
        <is>
          <t>ab57de91623407fd173c97256277e7de49199e96</t>
        </is>
      </c>
      <c r="K2671">
        <f>HYPERLINK("http://gitlab.osmosys.co/incident-reporter/incident-reporter-api/-/merge_requests/4212#note_239131", "Call this ptwIds. These are the ptwIds from `permit_to_work` table.")</f>
        <v/>
      </c>
      <c r="L2671" t="inlineStr">
        <is>
          <t>2025-07-21 11:28:24.591 IST</t>
        </is>
      </c>
      <c r="M2671" t="inlineStr">
        <is>
          <t>Sameer Shaik</t>
        </is>
      </c>
      <c r="N2671" t="inlineStr">
        <is>
          <t>Yes</t>
        </is>
      </c>
      <c r="O2671" t="inlineStr">
        <is>
          <t>Yes</t>
        </is>
      </c>
      <c r="P2671" t="inlineStr">
        <is>
          <t>Sameer Shaik</t>
        </is>
      </c>
      <c r="Q2671" t="inlineStr">
        <is>
          <t>Bad</t>
        </is>
      </c>
    </row>
    <row r="2672">
      <c r="A2672" t="inlineStr">
        <is>
          <t>samarjeet.k</t>
        </is>
      </c>
      <c r="B2672" t="inlineStr">
        <is>
          <t>Kumar Samarjeet</t>
        </is>
      </c>
      <c r="C2672" t="inlineStr">
        <is>
          <t>samarjeet.k@osmosys.co</t>
        </is>
      </c>
      <c r="D2672" t="inlineStr">
        <is>
          <t>incident-reporter</t>
        </is>
      </c>
      <c r="E2672">
        <f>HYPERLINK("http://gitlab.osmosys.co/incident-reporter/incident-reporter-api", "OQSHA-API")</f>
        <v/>
      </c>
      <c r="F2672">
        <f>HYPERLINK("http://gitlab.osmosys.co/incident-reporter/incident-reporter-api/-/merge_requests/4212", "fix: night work permit")</f>
        <v/>
      </c>
      <c r="G2672" t="inlineStr">
        <is>
          <t>fix/night_work_permit</t>
        </is>
      </c>
      <c r="H2672" t="inlineStr">
        <is>
          <t>sprint-17</t>
        </is>
      </c>
      <c r="I2672" t="inlineStr">
        <is>
          <t>opened</t>
        </is>
      </c>
      <c r="J2672" t="inlineStr">
        <is>
          <t>ab57de91623407fd173c97256277e7de49199e96</t>
        </is>
      </c>
      <c r="K2672">
        <f>HYPERLINK("http://gitlab.osmosys.co/incident-reporter/incident-reporter-api/-/merge_requests/4212#note_240125", "Updated")</f>
        <v/>
      </c>
      <c r="L2672" t="inlineStr">
        <is>
          <t>2025-07-22 13:01:05.372 IST</t>
        </is>
      </c>
      <c r="M2672" t="inlineStr">
        <is>
          <t>Kumar Samarjeet</t>
        </is>
      </c>
      <c r="N2672" t="inlineStr">
        <is>
          <t>No</t>
        </is>
      </c>
      <c r="O2672" t="inlineStr">
        <is>
          <t>Yes</t>
        </is>
      </c>
      <c r="P2672" t="inlineStr">
        <is>
          <t>Sameer Shaik</t>
        </is>
      </c>
      <c r="Q2672" t="inlineStr">
        <is>
          <t>Bad</t>
        </is>
      </c>
    </row>
    <row r="2673">
      <c r="A2673" t="inlineStr">
        <is>
          <t>samarjeet.k</t>
        </is>
      </c>
      <c r="B2673" t="inlineStr">
        <is>
          <t>Kumar Samarjeet</t>
        </is>
      </c>
      <c r="C2673" t="inlineStr">
        <is>
          <t>samarjeet.k@osmosys.co</t>
        </is>
      </c>
      <c r="D2673" t="inlineStr">
        <is>
          <t>incident-reporter</t>
        </is>
      </c>
      <c r="E2673">
        <f>HYPERLINK("http://gitlab.osmosys.co/incident-reporter/incident-reporter-api", "OQSHA-API")</f>
        <v/>
      </c>
      <c r="F2673">
        <f>HYPERLINK("http://gitlab.osmosys.co/incident-reporter/incident-reporter-api/-/merge_requests/4212", "fix: night work permit")</f>
        <v/>
      </c>
      <c r="G2673" t="inlineStr">
        <is>
          <t>fix/night_work_permit</t>
        </is>
      </c>
      <c r="H2673" t="inlineStr">
        <is>
          <t>sprint-17</t>
        </is>
      </c>
      <c r="I2673" t="inlineStr">
        <is>
          <t>opened</t>
        </is>
      </c>
      <c r="J2673" t="inlineStr">
        <is>
          <t>cb79b7088bd5036e75d5c84c4f88ad315bc23e31</t>
        </is>
      </c>
      <c r="K2673">
        <f>HYPERLINK("http://gitlab.osmosys.co/incident-reporter/incident-reporter-api/-/merge_requests/4212#note_239132", "Instead of passing all the validationPtwRecords, pass only the one that is related to the PTW.")</f>
        <v/>
      </c>
      <c r="L2673" t="inlineStr">
        <is>
          <t>2025-07-21 11:28:24.692 IST</t>
        </is>
      </c>
      <c r="M2673" t="inlineStr">
        <is>
          <t>Sameer Shaik</t>
        </is>
      </c>
      <c r="N2673" t="inlineStr">
        <is>
          <t>Yes</t>
        </is>
      </c>
      <c r="O2673" t="inlineStr">
        <is>
          <t>Yes</t>
        </is>
      </c>
      <c r="P2673" t="inlineStr">
        <is>
          <t>Sameer Shaik</t>
        </is>
      </c>
      <c r="Q2673" t="inlineStr">
        <is>
          <t>Bad</t>
        </is>
      </c>
    </row>
    <row r="2674">
      <c r="A2674" t="inlineStr">
        <is>
          <t>samarjeet.k</t>
        </is>
      </c>
      <c r="B2674" t="inlineStr">
        <is>
          <t>Kumar Samarjeet</t>
        </is>
      </c>
      <c r="C2674" t="inlineStr">
        <is>
          <t>samarjeet.k@osmosys.co</t>
        </is>
      </c>
      <c r="D2674" t="inlineStr">
        <is>
          <t>incident-reporter</t>
        </is>
      </c>
      <c r="E2674">
        <f>HYPERLINK("http://gitlab.osmosys.co/incident-reporter/incident-reporter-api", "OQSHA-API")</f>
        <v/>
      </c>
      <c r="F2674">
        <f>HYPERLINK("http://gitlab.osmosys.co/incident-reporter/incident-reporter-api/-/merge_requests/4212", "fix: night work permit")</f>
        <v/>
      </c>
      <c r="G2674" t="inlineStr">
        <is>
          <t>fix/night_work_permit</t>
        </is>
      </c>
      <c r="H2674" t="inlineStr">
        <is>
          <t>sprint-17</t>
        </is>
      </c>
      <c r="I2674" t="inlineStr">
        <is>
          <t>opened</t>
        </is>
      </c>
      <c r="J2674" t="inlineStr">
        <is>
          <t>cb79b7088bd5036e75d5c84c4f88ad315bc23e31</t>
        </is>
      </c>
      <c r="K2674">
        <f>HYPERLINK("http://gitlab.osmosys.co/incident-reporter/incident-reporter-api/-/merge_requests/4212#note_240124", "Passed only single ptw validation record")</f>
        <v/>
      </c>
      <c r="L2674" t="inlineStr">
        <is>
          <t>2025-07-22 13:01:00.556 IST</t>
        </is>
      </c>
      <c r="M2674" t="inlineStr">
        <is>
          <t>Kumar Samarjeet</t>
        </is>
      </c>
      <c r="N2674" t="inlineStr">
        <is>
          <t>No</t>
        </is>
      </c>
      <c r="O2674" t="inlineStr">
        <is>
          <t>Yes</t>
        </is>
      </c>
      <c r="P2674" t="inlineStr">
        <is>
          <t>Sameer Shaik</t>
        </is>
      </c>
      <c r="Q2674" t="inlineStr">
        <is>
          <t>Bad</t>
        </is>
      </c>
    </row>
    <row r="2675">
      <c r="A2675" t="inlineStr">
        <is>
          <t>samarjeet.k</t>
        </is>
      </c>
      <c r="B2675" t="inlineStr">
        <is>
          <t>Kumar Samarjeet</t>
        </is>
      </c>
      <c r="C2675" t="inlineStr">
        <is>
          <t>samarjeet.k@osmosys.co</t>
        </is>
      </c>
      <c r="D2675" t="inlineStr">
        <is>
          <t>incident-reporter</t>
        </is>
      </c>
      <c r="E2675">
        <f>HYPERLINK("http://gitlab.osmosys.co/incident-reporter/incident-reporter-api", "OQSHA-API")</f>
        <v/>
      </c>
      <c r="F2675">
        <f>HYPERLINK("http://gitlab.osmosys.co/incident-reporter/incident-reporter-api/-/merge_requests/4212", "fix: night work permit")</f>
        <v/>
      </c>
      <c r="G2675" t="inlineStr">
        <is>
          <t>fix/night_work_permit</t>
        </is>
      </c>
      <c r="H2675" t="inlineStr">
        <is>
          <t>sprint-17</t>
        </is>
      </c>
      <c r="I2675" t="inlineStr">
        <is>
          <t>opened</t>
        </is>
      </c>
      <c r="J2675" t="inlineStr">
        <is>
          <t>dd10ff3e8497c2cab2da18af7209271841a92ce2</t>
        </is>
      </c>
      <c r="K2675">
        <f>HYPERLINK("http://gitlab.osmosys.co/incident-reporter/incident-reporter-api/-/merge_requests/4212#note_239133", "Add a detailed explanation above every condition (case, if-else) to explain the code.")</f>
        <v/>
      </c>
      <c r="L2675" t="inlineStr">
        <is>
          <t>2025-07-21 11:28:24.747 IST</t>
        </is>
      </c>
      <c r="M2675" t="inlineStr">
        <is>
          <t>Sameer Shaik</t>
        </is>
      </c>
      <c r="N2675" t="inlineStr">
        <is>
          <t>Yes</t>
        </is>
      </c>
      <c r="O2675" t="inlineStr">
        <is>
          <t>Yes</t>
        </is>
      </c>
      <c r="P2675" t="inlineStr">
        <is>
          <t>Sameer Shaik</t>
        </is>
      </c>
      <c r="Q2675" t="inlineStr">
        <is>
          <t>Bad</t>
        </is>
      </c>
    </row>
    <row r="2676">
      <c r="A2676" t="inlineStr">
        <is>
          <t>samarjeet.k</t>
        </is>
      </c>
      <c r="B2676" t="inlineStr">
        <is>
          <t>Kumar Samarjeet</t>
        </is>
      </c>
      <c r="C2676" t="inlineStr">
        <is>
          <t>samarjeet.k@osmosys.co</t>
        </is>
      </c>
      <c r="D2676" t="inlineStr">
        <is>
          <t>incident-reporter</t>
        </is>
      </c>
      <c r="E2676">
        <f>HYPERLINK("http://gitlab.osmosys.co/incident-reporter/incident-reporter-api", "OQSHA-API")</f>
        <v/>
      </c>
      <c r="F2676">
        <f>HYPERLINK("http://gitlab.osmosys.co/incident-reporter/incident-reporter-api/-/merge_requests/4212", "fix: night work permit")</f>
        <v/>
      </c>
      <c r="G2676" t="inlineStr">
        <is>
          <t>fix/night_work_permit</t>
        </is>
      </c>
      <c r="H2676" t="inlineStr">
        <is>
          <t>sprint-17</t>
        </is>
      </c>
      <c r="I2676" t="inlineStr">
        <is>
          <t>opened</t>
        </is>
      </c>
      <c r="J2676" t="inlineStr">
        <is>
          <t>dd10ff3e8497c2cab2da18af7209271841a92ce2</t>
        </is>
      </c>
      <c r="K2676">
        <f>HYPERLINK("http://gitlab.osmosys.co/incident-reporter/incident-reporter-api/-/merge_requests/4212#note_240123", "Added detailed comment")</f>
        <v/>
      </c>
      <c r="L2676" t="inlineStr">
        <is>
          <t>2025-07-22 13:00:44.024 IST</t>
        </is>
      </c>
      <c r="M2676" t="inlineStr">
        <is>
          <t>Kumar Samarjeet</t>
        </is>
      </c>
      <c r="N2676" t="inlineStr">
        <is>
          <t>No</t>
        </is>
      </c>
      <c r="O2676" t="inlineStr">
        <is>
          <t>Yes</t>
        </is>
      </c>
      <c r="P2676" t="inlineStr">
        <is>
          <t>Sameer Shaik</t>
        </is>
      </c>
      <c r="Q2676" t="inlineStr">
        <is>
          <t>Bad</t>
        </is>
      </c>
    </row>
    <row r="2677">
      <c r="A2677" t="inlineStr">
        <is>
          <t>samarjeet.k</t>
        </is>
      </c>
      <c r="B2677" t="inlineStr">
        <is>
          <t>Kumar Samarjeet</t>
        </is>
      </c>
      <c r="C2677" t="inlineStr">
        <is>
          <t>samarjeet.k@osmosys.co</t>
        </is>
      </c>
      <c r="D2677" t="inlineStr">
        <is>
          <t>incident-reporter</t>
        </is>
      </c>
      <c r="E2677">
        <f>HYPERLINK("http://gitlab.osmosys.co/incident-reporter/incident-reporter-api", "OQSHA-API")</f>
        <v/>
      </c>
      <c r="F2677">
        <f>HYPERLINK("http://gitlab.osmosys.co/incident-reporter/incident-reporter-api/-/merge_requests/4196", "merge: sprint 16 sprint17")</f>
        <v/>
      </c>
      <c r="G2677" t="inlineStr">
        <is>
          <t>merge/sprint-16_sprint17</t>
        </is>
      </c>
      <c r="H2677" t="inlineStr">
        <is>
          <t>sprint-17</t>
        </is>
      </c>
      <c r="I2677" t="inlineStr">
        <is>
          <t>merged</t>
        </is>
      </c>
      <c r="J2677" t="inlineStr"/>
      <c r="K2677" t="inlineStr"/>
      <c r="L2677" t="inlineStr"/>
      <c r="M2677" t="inlineStr"/>
      <c r="N2677" t="inlineStr"/>
      <c r="O2677" t="inlineStr"/>
      <c r="P2677" t="inlineStr"/>
      <c r="Q2677" t="inlineStr"/>
    </row>
    <row r="2678">
      <c r="A2678" t="inlineStr">
        <is>
          <t>samarjeet.k</t>
        </is>
      </c>
      <c r="B2678" t="inlineStr">
        <is>
          <t>Kumar Samarjeet</t>
        </is>
      </c>
      <c r="C2678" t="inlineStr">
        <is>
          <t>samarjeet.k@osmosys.co</t>
        </is>
      </c>
      <c r="D2678" t="inlineStr">
        <is>
          <t>incident-reporter</t>
        </is>
      </c>
      <c r="E2678">
        <f>HYPERLINK("http://gitlab.osmosys.co/incident-reporter/incident-reporter-api", "OQSHA-API")</f>
        <v/>
      </c>
      <c r="F2678">
        <f>HYPERLINK("http://gitlab.osmosys.co/incident-reporter/incident-reporter-api/-/merge_requests/4192", "fix: get all tickets")</f>
        <v/>
      </c>
      <c r="G2678" t="inlineStr">
        <is>
          <t>fix/get_all_tickets_v3</t>
        </is>
      </c>
      <c r="H2678" t="inlineStr">
        <is>
          <t>sprint-16_v2</t>
        </is>
      </c>
      <c r="I2678" t="inlineStr">
        <is>
          <t>merged</t>
        </is>
      </c>
      <c r="J2678" t="inlineStr"/>
      <c r="K2678" t="inlineStr"/>
      <c r="L2678" t="inlineStr"/>
      <c r="M2678" t="inlineStr"/>
      <c r="N2678" t="inlineStr"/>
      <c r="O2678" t="inlineStr"/>
      <c r="P2678" t="inlineStr"/>
      <c r="Q2678" t="inlineStr"/>
    </row>
    <row r="2679">
      <c r="A2679" t="inlineStr">
        <is>
          <t>samarjeet.k</t>
        </is>
      </c>
      <c r="B2679" t="inlineStr">
        <is>
          <t>Kumar Samarjeet</t>
        </is>
      </c>
      <c r="C2679" t="inlineStr">
        <is>
          <t>samarjeet.k@osmosys.co</t>
        </is>
      </c>
      <c r="D2679" t="inlineStr">
        <is>
          <t>incident-reporter</t>
        </is>
      </c>
      <c r="E2679">
        <f>HYPERLINK("http://gitlab.osmosys.co/incident-reporter/incident-reporter-api", "OQSHA-API")</f>
        <v/>
      </c>
      <c r="F2679">
        <f>HYPERLINK("http://gitlab.osmosys.co/incident-reporter/incident-reporter-api/-/merge_requests/4190", "fix: revert ptw fix")</f>
        <v/>
      </c>
      <c r="G2679" t="inlineStr">
        <is>
          <t>fix/revert_ptw_fix</t>
        </is>
      </c>
      <c r="H2679" t="inlineStr">
        <is>
          <t>sprint-16_v2</t>
        </is>
      </c>
      <c r="I2679" t="inlineStr">
        <is>
          <t>merged</t>
        </is>
      </c>
      <c r="J2679" t="inlineStr"/>
      <c r="K2679" t="inlineStr"/>
      <c r="L2679" t="inlineStr"/>
      <c r="M2679" t="inlineStr"/>
      <c r="N2679" t="inlineStr"/>
      <c r="O2679" t="inlineStr"/>
      <c r="P2679" t="inlineStr"/>
      <c r="Q2679" t="inlineStr"/>
    </row>
    <row r="2680">
      <c r="A2680" t="inlineStr">
        <is>
          <t>samarjeet.k</t>
        </is>
      </c>
      <c r="B2680" t="inlineStr">
        <is>
          <t>Kumar Samarjeet</t>
        </is>
      </c>
      <c r="C2680" t="inlineStr">
        <is>
          <t>samarjeet.k@osmosys.co</t>
        </is>
      </c>
      <c r="D2680" t="inlineStr">
        <is>
          <t>incident-reporter</t>
        </is>
      </c>
      <c r="E2680">
        <f>HYPERLINK("http://gitlab.osmosys.co/incident-reporter/incident-reporter-api", "OQSHA-API")</f>
        <v/>
      </c>
      <c r="F2680">
        <f>HYPERLINK("http://gitlab.osmosys.co/incident-reporter/incident-reporter-api/-/merge_requests/4183", "Merge/sprint 16 to sprint 17")</f>
        <v/>
      </c>
      <c r="G2680" t="inlineStr">
        <is>
          <t>merge/sprint-16_to_sprint-17</t>
        </is>
      </c>
      <c r="H2680" t="inlineStr">
        <is>
          <t>sprint-17</t>
        </is>
      </c>
      <c r="I2680" t="inlineStr">
        <is>
          <t>merged</t>
        </is>
      </c>
      <c r="J2680" t="inlineStr"/>
      <c r="K2680" t="inlineStr"/>
      <c r="L2680" t="inlineStr"/>
      <c r="M2680" t="inlineStr"/>
      <c r="N2680" t="inlineStr"/>
      <c r="O2680" t="inlineStr"/>
      <c r="P2680" t="inlineStr"/>
      <c r="Q2680" t="inlineStr"/>
    </row>
    <row r="2681">
      <c r="A2681" t="inlineStr">
        <is>
          <t>samarjeet.k</t>
        </is>
      </c>
      <c r="B2681" t="inlineStr">
        <is>
          <t>Kumar Samarjeet</t>
        </is>
      </c>
      <c r="C2681" t="inlineStr">
        <is>
          <t>samarjeet.k@osmosys.co</t>
        </is>
      </c>
      <c r="D2681" t="inlineStr">
        <is>
          <t>incident-reporter</t>
        </is>
      </c>
      <c r="E2681">
        <f>HYPERLINK("http://gitlab.osmosys.co/incident-reporter/incident-reporter-api", "OQSHA-API")</f>
        <v/>
      </c>
      <c r="F2681">
        <f>HYPERLINK("http://gitlab.osmosys.co/incident-reporter/incident-reporter-api/-/merge_requests/4182", "fix: get all ptw")</f>
        <v/>
      </c>
      <c r="G2681" t="inlineStr">
        <is>
          <t>fix/get_all_ptw_v2</t>
        </is>
      </c>
      <c r="H2681" t="inlineStr">
        <is>
          <t>sprint-16_v2</t>
        </is>
      </c>
      <c r="I2681" t="inlineStr">
        <is>
          <t>merged</t>
        </is>
      </c>
      <c r="J2681" t="inlineStr"/>
      <c r="K2681" t="inlineStr"/>
      <c r="L2681" t="inlineStr"/>
      <c r="M2681" t="inlineStr"/>
      <c r="N2681" t="inlineStr"/>
      <c r="O2681" t="inlineStr"/>
      <c r="P2681" t="inlineStr"/>
      <c r="Q2681" t="inlineStr"/>
    </row>
    <row r="2682">
      <c r="A2682" t="inlineStr">
        <is>
          <t>samarjeet.k</t>
        </is>
      </c>
      <c r="B2682" t="inlineStr">
        <is>
          <t>Kumar Samarjeet</t>
        </is>
      </c>
      <c r="C2682" t="inlineStr">
        <is>
          <t>samarjeet.k@osmosys.co</t>
        </is>
      </c>
      <c r="D2682" t="inlineStr">
        <is>
          <t>incident-reporter</t>
        </is>
      </c>
      <c r="E2682">
        <f>HYPERLINK("http://gitlab.osmosys.co/incident-reporter/incident-reporter-api", "OQSHA-API")</f>
        <v/>
      </c>
      <c r="F2682">
        <f>HYPERLINK("http://gitlab.osmosys.co/incident-reporter/incident-reporter-api/-/merge_requests/4178", "merge: sprint 16 to sprint 17")</f>
        <v/>
      </c>
      <c r="G2682" t="inlineStr">
        <is>
          <t>merge/sprint-16_to_sprint-17</t>
        </is>
      </c>
      <c r="H2682" t="inlineStr">
        <is>
          <t>sprint-17</t>
        </is>
      </c>
      <c r="I2682" t="inlineStr">
        <is>
          <t>merged</t>
        </is>
      </c>
      <c r="J2682" t="inlineStr"/>
      <c r="K2682" t="inlineStr"/>
      <c r="L2682" t="inlineStr"/>
      <c r="M2682" t="inlineStr"/>
      <c r="N2682" t="inlineStr"/>
      <c r="O2682" t="inlineStr"/>
      <c r="P2682" t="inlineStr"/>
      <c r="Q2682" t="inlineStr"/>
    </row>
    <row r="2683">
      <c r="A2683" t="inlineStr">
        <is>
          <t>samarjeet.k</t>
        </is>
      </c>
      <c r="B2683" t="inlineStr">
        <is>
          <t>Kumar Samarjeet</t>
        </is>
      </c>
      <c r="C2683" t="inlineStr">
        <is>
          <t>samarjeet.k@osmosys.co</t>
        </is>
      </c>
      <c r="D2683" t="inlineStr">
        <is>
          <t>incident-reporter</t>
        </is>
      </c>
      <c r="E2683">
        <f>HYPERLINK("http://gitlab.osmosys.co/incident-reporter/incident-reporter-api", "OQSHA-API")</f>
        <v/>
      </c>
      <c r="F2683">
        <f>HYPERLINK("http://gitlab.osmosys.co/incident-reporter/incident-reporter-api/-/merge_requests/4177", "fix: get all tickets")</f>
        <v/>
      </c>
      <c r="G2683" t="inlineStr">
        <is>
          <t>fix/get_all_tickets_v2</t>
        </is>
      </c>
      <c r="H2683" t="inlineStr">
        <is>
          <t>sprint-16_v2</t>
        </is>
      </c>
      <c r="I2683" t="inlineStr">
        <is>
          <t>merged</t>
        </is>
      </c>
      <c r="J2683" t="inlineStr"/>
      <c r="K2683" t="inlineStr"/>
      <c r="L2683" t="inlineStr"/>
      <c r="M2683" t="inlineStr"/>
      <c r="N2683" t="inlineStr"/>
      <c r="O2683" t="inlineStr"/>
      <c r="P2683" t="inlineStr"/>
      <c r="Q2683" t="inlineStr"/>
    </row>
    <row r="2684">
      <c r="A2684" t="inlineStr">
        <is>
          <t>samarjeet.k</t>
        </is>
      </c>
      <c r="B2684" t="inlineStr">
        <is>
          <t>Kumar Samarjeet</t>
        </is>
      </c>
      <c r="C2684" t="inlineStr">
        <is>
          <t>samarjeet.k@osmosys.co</t>
        </is>
      </c>
      <c r="D2684" t="inlineStr">
        <is>
          <t>incident-reporter</t>
        </is>
      </c>
      <c r="E2684">
        <f>HYPERLINK("http://gitlab.osmosys.co/incident-reporter/incident-reporter-api", "OQSHA-API")</f>
        <v/>
      </c>
      <c r="F2684">
        <f>HYPERLINK("http://gitlab.osmosys.co/incident-reporter/incident-reporter-api/-/merge_requests/4167", "fix: get all tickets")</f>
        <v/>
      </c>
      <c r="G2684" t="inlineStr">
        <is>
          <t>fix/get_all_tickets</t>
        </is>
      </c>
      <c r="H2684" t="inlineStr">
        <is>
          <t>sprint-16_v2</t>
        </is>
      </c>
      <c r="I2684" t="inlineStr">
        <is>
          <t>merged</t>
        </is>
      </c>
      <c r="J2684" t="inlineStr"/>
      <c r="K2684" t="inlineStr"/>
      <c r="L2684" t="inlineStr"/>
      <c r="M2684" t="inlineStr"/>
      <c r="N2684" t="inlineStr"/>
      <c r="O2684" t="inlineStr"/>
      <c r="P2684" t="inlineStr"/>
      <c r="Q2684" t="inlineStr"/>
    </row>
    <row r="2685">
      <c r="A2685" t="inlineStr">
        <is>
          <t>samarjeet.k</t>
        </is>
      </c>
      <c r="B2685" t="inlineStr">
        <is>
          <t>Kumar Samarjeet</t>
        </is>
      </c>
      <c r="C2685" t="inlineStr">
        <is>
          <t>samarjeet.k@osmosys.co</t>
        </is>
      </c>
      <c r="D2685" t="inlineStr">
        <is>
          <t>incident-reporter</t>
        </is>
      </c>
      <c r="E2685">
        <f>HYPERLINK("http://gitlab.osmosys.co/incident-reporter/incident-reporter-api", "OQSHA-API")</f>
        <v/>
      </c>
      <c r="F2685">
        <f>HYPERLINK("http://gitlab.osmosys.co/incident-reporter/incident-reporter-api/-/merge_requests/4151", "Merge/sprint 16 v2 to sprint 17")</f>
        <v/>
      </c>
      <c r="G2685" t="inlineStr">
        <is>
          <t>merge/sprint-16_v2_to_sprint-17</t>
        </is>
      </c>
      <c r="H2685" t="inlineStr">
        <is>
          <t>sprint-17</t>
        </is>
      </c>
      <c r="I2685" t="inlineStr">
        <is>
          <t>merged</t>
        </is>
      </c>
      <c r="J2685" t="inlineStr"/>
      <c r="K2685" t="inlineStr"/>
      <c r="L2685" t="inlineStr"/>
      <c r="M2685" t="inlineStr"/>
      <c r="N2685" t="inlineStr"/>
      <c r="O2685" t="inlineStr"/>
      <c r="P2685" t="inlineStr"/>
      <c r="Q2685" t="inlineStr"/>
    </row>
    <row r="2686">
      <c r="A2686" t="inlineStr">
        <is>
          <t>samarjeet.k</t>
        </is>
      </c>
      <c r="B2686" t="inlineStr">
        <is>
          <t>Kumar Samarjeet</t>
        </is>
      </c>
      <c r="C2686" t="inlineStr">
        <is>
          <t>samarjeet.k@osmosys.co</t>
        </is>
      </c>
      <c r="D2686" t="inlineStr">
        <is>
          <t>incident-reporter</t>
        </is>
      </c>
      <c r="E2686">
        <f>HYPERLINK("http://gitlab.osmosys.co/incident-reporter/incident-reporter-api", "OQSHA-API")</f>
        <v/>
      </c>
      <c r="F2686">
        <f>HYPERLINK("http://gitlab.osmosys.co/incident-reporter/incident-reporter-api/-/merge_requests/4147", "fix: get role by id")</f>
        <v/>
      </c>
      <c r="G2686" t="inlineStr">
        <is>
          <t>fix/get_role_by_id</t>
        </is>
      </c>
      <c r="H2686" t="inlineStr">
        <is>
          <t>sprint-16_v2</t>
        </is>
      </c>
      <c r="I2686" t="inlineStr">
        <is>
          <t>merged</t>
        </is>
      </c>
      <c r="J2686" t="inlineStr"/>
      <c r="K2686" t="inlineStr"/>
      <c r="L2686" t="inlineStr"/>
      <c r="M2686" t="inlineStr"/>
      <c r="N2686" t="inlineStr"/>
      <c r="O2686" t="inlineStr"/>
      <c r="P2686" t="inlineStr"/>
      <c r="Q2686" t="inlineStr"/>
    </row>
    <row r="2687">
      <c r="A2687" t="inlineStr">
        <is>
          <t>samarjeet.k</t>
        </is>
      </c>
      <c r="B2687" t="inlineStr">
        <is>
          <t>Kumar Samarjeet</t>
        </is>
      </c>
      <c r="C2687" t="inlineStr">
        <is>
          <t>samarjeet.k@osmosys.co</t>
        </is>
      </c>
      <c r="D2687" t="inlineStr">
        <is>
          <t>incident-reporter</t>
        </is>
      </c>
      <c r="E2687">
        <f>HYPERLINK("http://gitlab.osmosys.co/incident-reporter/incident-reporter-api", "OQSHA-API")</f>
        <v/>
      </c>
      <c r="F2687">
        <f>HYPERLINK("http://gitlab.osmosys.co/incident-reporter/incident-reporter-api/-/merge_requests/4145", "fix: export users")</f>
        <v/>
      </c>
      <c r="G2687" t="inlineStr">
        <is>
          <t>fix/export_users_v2</t>
        </is>
      </c>
      <c r="H2687" t="inlineStr">
        <is>
          <t>sprint-16_v2</t>
        </is>
      </c>
      <c r="I2687" t="inlineStr">
        <is>
          <t>merged</t>
        </is>
      </c>
      <c r="J2687" t="inlineStr"/>
      <c r="K2687" t="inlineStr"/>
      <c r="L2687" t="inlineStr"/>
      <c r="M2687" t="inlineStr"/>
      <c r="N2687" t="inlineStr"/>
      <c r="O2687" t="inlineStr"/>
      <c r="P2687" t="inlineStr"/>
      <c r="Q2687" t="inlineStr"/>
    </row>
    <row r="2688">
      <c r="A2688" t="inlineStr">
        <is>
          <t>samarjeet.k</t>
        </is>
      </c>
      <c r="B2688" t="inlineStr">
        <is>
          <t>Kumar Samarjeet</t>
        </is>
      </c>
      <c r="C2688" t="inlineStr">
        <is>
          <t>samarjeet.k@osmosys.co</t>
        </is>
      </c>
      <c r="D2688" t="inlineStr">
        <is>
          <t>incident-reporter</t>
        </is>
      </c>
      <c r="E2688">
        <f>HYPERLINK("http://gitlab.osmosys.co/incident-reporter/incident-reporter-api", "OQSHA-API")</f>
        <v/>
      </c>
      <c r="F2688">
        <f>HYPERLINK("http://gitlab.osmosys.co/incident-reporter/incident-reporter-api/-/merge_requests/4144", "fix: export users and get all tickets")</f>
        <v/>
      </c>
      <c r="G2688" t="inlineStr">
        <is>
          <t>fix/export_users</t>
        </is>
      </c>
      <c r="H2688" t="inlineStr">
        <is>
          <t>sprint-16_v2</t>
        </is>
      </c>
      <c r="I2688" t="inlineStr">
        <is>
          <t>merged</t>
        </is>
      </c>
      <c r="J2688" t="inlineStr"/>
      <c r="K2688" t="inlineStr"/>
      <c r="L2688" t="inlineStr"/>
      <c r="M2688" t="inlineStr"/>
      <c r="N2688" t="inlineStr"/>
      <c r="O2688" t="inlineStr"/>
      <c r="P2688" t="inlineStr"/>
      <c r="Q2688" t="inlineStr"/>
    </row>
    <row r="2689">
      <c r="A2689" t="inlineStr">
        <is>
          <t>samarjeet.k</t>
        </is>
      </c>
      <c r="B2689" t="inlineStr">
        <is>
          <t>Kumar Samarjeet</t>
        </is>
      </c>
      <c r="C2689" t="inlineStr">
        <is>
          <t>samarjeet.k@osmosys.co</t>
        </is>
      </c>
      <c r="D2689" t="inlineStr">
        <is>
          <t>incident-reporter</t>
        </is>
      </c>
      <c r="E2689">
        <f>HYPERLINK("http://gitlab.osmosys.co/incident-reporter/incident-reporter-api", "OQSHA-API")</f>
        <v/>
      </c>
      <c r="F2689">
        <f>HYPERLINK("http://gitlab.osmosys.co/incident-reporter/incident-reporter-api/-/merge_requests/4143", "fix: merge bug fixes to sprint-16_v2")</f>
        <v/>
      </c>
      <c r="G2689" t="inlineStr">
        <is>
          <t>fix/merge_bug_fixes_to_16</t>
        </is>
      </c>
      <c r="H2689" t="inlineStr">
        <is>
          <t>sprint-16_v2</t>
        </is>
      </c>
      <c r="I2689" t="inlineStr">
        <is>
          <t>merged</t>
        </is>
      </c>
      <c r="J2689" t="inlineStr"/>
      <c r="K2689" t="inlineStr"/>
      <c r="L2689" t="inlineStr"/>
      <c r="M2689" t="inlineStr"/>
      <c r="N2689" t="inlineStr"/>
      <c r="O2689" t="inlineStr"/>
      <c r="P2689" t="inlineStr"/>
      <c r="Q2689" t="inlineStr"/>
    </row>
    <row r="2690">
      <c r="A2690" t="inlineStr">
        <is>
          <t>samarjeet.k</t>
        </is>
      </c>
      <c r="B2690" t="inlineStr">
        <is>
          <t>Kumar Samarjeet</t>
        </is>
      </c>
      <c r="C2690" t="inlineStr">
        <is>
          <t>samarjeet.k@osmosys.co</t>
        </is>
      </c>
      <c r="D2690" t="inlineStr">
        <is>
          <t>incident-reporter</t>
        </is>
      </c>
      <c r="E2690">
        <f>HYPERLINK("http://gitlab.osmosys.co/incident-reporter/incident-reporter-api", "OQSHA-API")</f>
        <v/>
      </c>
      <c r="F2690">
        <f>HYPERLINK("http://gitlab.osmosys.co/incident-reporter/incident-reporter-api/-/merge_requests/4141", "fix: get all ptw")</f>
        <v/>
      </c>
      <c r="G2690" t="inlineStr">
        <is>
          <t>fix/get_all_ptw</t>
        </is>
      </c>
      <c r="H2690" t="inlineStr">
        <is>
          <t>sprint-17</t>
        </is>
      </c>
      <c r="I2690" t="inlineStr">
        <is>
          <t>closed</t>
        </is>
      </c>
      <c r="J2690" t="inlineStr"/>
      <c r="K2690" t="inlineStr"/>
      <c r="L2690" t="inlineStr"/>
      <c r="M2690" t="inlineStr"/>
      <c r="N2690" t="inlineStr"/>
      <c r="O2690" t="inlineStr"/>
      <c r="P2690" t="inlineStr"/>
      <c r="Q2690" t="inlineStr"/>
    </row>
    <row r="2691">
      <c r="A2691" t="inlineStr">
        <is>
          <t>samarjeet.k</t>
        </is>
      </c>
      <c r="B2691" t="inlineStr">
        <is>
          <t>Kumar Samarjeet</t>
        </is>
      </c>
      <c r="C2691" t="inlineStr">
        <is>
          <t>samarjeet.k@osmosys.co</t>
        </is>
      </c>
      <c r="D2691" t="inlineStr">
        <is>
          <t>incident-reporter</t>
        </is>
      </c>
      <c r="E2691">
        <f>HYPERLINK("http://gitlab.osmosys.co/incident-reporter/incident-reporter-api", "OQSHA-API")</f>
        <v/>
      </c>
      <c r="F2691">
        <f>HYPERLINK("http://gitlab.osmosys.co/incident-reporter/incident-reporter-api/-/merge_requests/4136", "fix: ptw closure requested by")</f>
        <v/>
      </c>
      <c r="G2691" t="inlineStr">
        <is>
          <t>fix/ptw_closure_requested_by</t>
        </is>
      </c>
      <c r="H2691" t="inlineStr">
        <is>
          <t>sprint-17</t>
        </is>
      </c>
      <c r="I2691" t="inlineStr">
        <is>
          <t>merged</t>
        </is>
      </c>
      <c r="J2691" t="inlineStr"/>
      <c r="K2691" t="inlineStr"/>
      <c r="L2691" t="inlineStr"/>
      <c r="M2691" t="inlineStr"/>
      <c r="N2691" t="inlineStr"/>
      <c r="O2691" t="inlineStr"/>
      <c r="P2691" t="inlineStr"/>
      <c r="Q2691" t="inlineStr"/>
    </row>
    <row r="2692">
      <c r="A2692" t="inlineStr">
        <is>
          <t>samarjeet.k</t>
        </is>
      </c>
      <c r="B2692" t="inlineStr">
        <is>
          <t>Kumar Samarjeet</t>
        </is>
      </c>
      <c r="C2692" t="inlineStr">
        <is>
          <t>samarjeet.k@osmosys.co</t>
        </is>
      </c>
      <c r="D2692" t="inlineStr">
        <is>
          <t>incident-reporter</t>
        </is>
      </c>
      <c r="E2692">
        <f>HYPERLINK("http://gitlab.osmosys.co/incident-reporter/incident-reporter-api", "OQSHA-API")</f>
        <v/>
      </c>
      <c r="F2692">
        <f>HYPERLINK("http://gitlab.osmosys.co/incident-reporter/incident-reporter-api/-/merge_requests/4134", "fix: pwa user creation")</f>
        <v/>
      </c>
      <c r="G2692" t="inlineStr">
        <is>
          <t>fix/pwa_user_creation_v2</t>
        </is>
      </c>
      <c r="H2692" t="inlineStr">
        <is>
          <t>sprint-17</t>
        </is>
      </c>
      <c r="I2692" t="inlineStr">
        <is>
          <t>merged</t>
        </is>
      </c>
      <c r="J2692" t="inlineStr">
        <is>
          <t>8419fe4238ab59a34aad948e01037d7251c09d19</t>
        </is>
      </c>
      <c r="K2692">
        <f>HYPERLINK("http://gitlab.osmosys.co/incident-reporter/incident-reporter-api/-/merge_requests/4134#note_235393", "Add the changes requested here - https://pinestem.com/dashboard.html#/tasks/quick/INRT-3765/details/?companyId=453&amp;isPrevNext=1&amp;cmntID=1067083")</f>
        <v/>
      </c>
      <c r="L2692" t="inlineStr">
        <is>
          <t>2025-07-11 17:13:06.851 IST</t>
        </is>
      </c>
      <c r="M2692" t="inlineStr">
        <is>
          <t>Sindhusha</t>
        </is>
      </c>
      <c r="N2692" t="inlineStr">
        <is>
          <t>Yes</t>
        </is>
      </c>
      <c r="O2692" t="inlineStr">
        <is>
          <t>Yes</t>
        </is>
      </c>
      <c r="P2692" t="inlineStr">
        <is>
          <t>Sindhusha</t>
        </is>
      </c>
      <c r="Q2692" t="inlineStr">
        <is>
          <t>Bad</t>
        </is>
      </c>
    </row>
    <row r="2693">
      <c r="A2693" t="inlineStr">
        <is>
          <t>samarjeet.k</t>
        </is>
      </c>
      <c r="B2693" t="inlineStr">
        <is>
          <t>Kumar Samarjeet</t>
        </is>
      </c>
      <c r="C2693" t="inlineStr">
        <is>
          <t>samarjeet.k@osmosys.co</t>
        </is>
      </c>
      <c r="D2693" t="inlineStr">
        <is>
          <t>incident-reporter</t>
        </is>
      </c>
      <c r="E2693">
        <f>HYPERLINK("http://gitlab.osmosys.co/incident-reporter/incident-reporter-api", "OQSHA-API")</f>
        <v/>
      </c>
      <c r="F2693">
        <f>HYPERLINK("http://gitlab.osmosys.co/incident-reporter/incident-reporter-api/-/merge_requests/4134", "fix: pwa user creation")</f>
        <v/>
      </c>
      <c r="G2693" t="inlineStr">
        <is>
          <t>fix/pwa_user_creation_v2</t>
        </is>
      </c>
      <c r="H2693" t="inlineStr">
        <is>
          <t>sprint-17</t>
        </is>
      </c>
      <c r="I2693" t="inlineStr">
        <is>
          <t>merged</t>
        </is>
      </c>
      <c r="J2693" t="inlineStr">
        <is>
          <t>8419fe4238ab59a34aad948e01037d7251c09d19</t>
        </is>
      </c>
      <c r="K2693">
        <f>HYPERLINK("http://gitlab.osmosys.co/incident-reporter/incident-reporter-api/-/merge_requests/4134#note_235400", "Fixed")</f>
        <v/>
      </c>
      <c r="L2693" t="inlineStr">
        <is>
          <t>2025-07-11 17:19:55.652 IST</t>
        </is>
      </c>
      <c r="M2693" t="inlineStr">
        <is>
          <t>Kumar Samarjeet</t>
        </is>
      </c>
      <c r="N2693" t="inlineStr">
        <is>
          <t>No</t>
        </is>
      </c>
      <c r="O2693" t="inlineStr">
        <is>
          <t>Yes</t>
        </is>
      </c>
      <c r="P2693" t="inlineStr">
        <is>
          <t>Sindhusha</t>
        </is>
      </c>
      <c r="Q2693" t="inlineStr">
        <is>
          <t>Bad</t>
        </is>
      </c>
    </row>
    <row r="2694">
      <c r="A2694" t="inlineStr">
        <is>
          <t>samarjeet.k</t>
        </is>
      </c>
      <c r="B2694" t="inlineStr">
        <is>
          <t>Kumar Samarjeet</t>
        </is>
      </c>
      <c r="C2694" t="inlineStr">
        <is>
          <t>samarjeet.k@osmosys.co</t>
        </is>
      </c>
      <c r="D2694" t="inlineStr">
        <is>
          <t>incident-reporter</t>
        </is>
      </c>
      <c r="E2694">
        <f>HYPERLINK("http://gitlab.osmosys.co/incident-reporter/incident-reporter-api", "OQSHA-API")</f>
        <v/>
      </c>
      <c r="F2694">
        <f>HYPERLINK("http://gitlab.osmosys.co/incident-reporter/incident-reporter-api/-/merge_requests/4113", "fix: pwa user otp")</f>
        <v/>
      </c>
      <c r="G2694" t="inlineStr">
        <is>
          <t>fix/pwa_user_creation</t>
        </is>
      </c>
      <c r="H2694" t="inlineStr">
        <is>
          <t>sprint-17</t>
        </is>
      </c>
      <c r="I2694" t="inlineStr">
        <is>
          <t>merged</t>
        </is>
      </c>
      <c r="J2694" t="inlineStr">
        <is>
          <t>f6559aa5a73a29516de75abe7d8a6571fd789141</t>
        </is>
      </c>
      <c r="K2694">
        <f>HYPERLINK("http://gitlab.osmosys.co/incident-reporter/incident-reporter-api/-/merge_requests/4113#note_234161", "Are we doing this in the organisation registration?")</f>
        <v/>
      </c>
      <c r="L2694" t="inlineStr">
        <is>
          <t>2025-07-10 16:08:50.523 IST</t>
        </is>
      </c>
      <c r="M2694" t="inlineStr">
        <is>
          <t>Sindhusha</t>
        </is>
      </c>
      <c r="N2694" t="inlineStr">
        <is>
          <t>Yes</t>
        </is>
      </c>
      <c r="O2694" t="inlineStr">
        <is>
          <t>Yes</t>
        </is>
      </c>
      <c r="P2694" t="inlineStr">
        <is>
          <t>Sindhusha</t>
        </is>
      </c>
      <c r="Q2694" t="inlineStr">
        <is>
          <t>Neutral</t>
        </is>
      </c>
    </row>
    <row r="2695">
      <c r="A2695" t="inlineStr">
        <is>
          <t>samarjeet.k</t>
        </is>
      </c>
      <c r="B2695" t="inlineStr">
        <is>
          <t>Kumar Samarjeet</t>
        </is>
      </c>
      <c r="C2695" t="inlineStr">
        <is>
          <t>samarjeet.k@osmosys.co</t>
        </is>
      </c>
      <c r="D2695" t="inlineStr">
        <is>
          <t>incident-reporter</t>
        </is>
      </c>
      <c r="E2695">
        <f>HYPERLINK("http://gitlab.osmosys.co/incident-reporter/incident-reporter-api", "OQSHA-API")</f>
        <v/>
      </c>
      <c r="F2695">
        <f>HYPERLINK("http://gitlab.osmosys.co/incident-reporter/incident-reporter-api/-/merge_requests/4113", "fix: pwa user otp")</f>
        <v/>
      </c>
      <c r="G2695" t="inlineStr">
        <is>
          <t>fix/pwa_user_creation</t>
        </is>
      </c>
      <c r="H2695" t="inlineStr">
        <is>
          <t>sprint-17</t>
        </is>
      </c>
      <c r="I2695" t="inlineStr">
        <is>
          <t>merged</t>
        </is>
      </c>
      <c r="J2695" t="inlineStr">
        <is>
          <t>f6559aa5a73a29516de75abe7d8a6571fd789141</t>
        </is>
      </c>
      <c r="K2695">
        <f>HYPERLINK("http://gitlab.osmosys.co/incident-reporter/incident-reporter-api/-/merge_requests/4113#note_234168", "Yes, But in registration api we are adding Contractor type not "Others".
In my task's requirement it was asked to add others as company type")</f>
        <v/>
      </c>
      <c r="L2695" t="inlineStr">
        <is>
          <t>2025-07-10 16:13:07.383 IST</t>
        </is>
      </c>
      <c r="M2695" t="inlineStr">
        <is>
          <t>Kumar Samarjeet</t>
        </is>
      </c>
      <c r="N2695" t="inlineStr">
        <is>
          <t>No</t>
        </is>
      </c>
      <c r="O2695" t="inlineStr">
        <is>
          <t>Yes</t>
        </is>
      </c>
      <c r="P2695" t="inlineStr">
        <is>
          <t>Sindhusha</t>
        </is>
      </c>
      <c r="Q2695" t="inlineStr">
        <is>
          <t>Neutral</t>
        </is>
      </c>
    </row>
    <row r="2696">
      <c r="A2696" t="inlineStr">
        <is>
          <t>samarjeet.k</t>
        </is>
      </c>
      <c r="B2696" t="inlineStr">
        <is>
          <t>Kumar Samarjeet</t>
        </is>
      </c>
      <c r="C2696" t="inlineStr">
        <is>
          <t>samarjeet.k@osmosys.co</t>
        </is>
      </c>
      <c r="D2696" t="inlineStr">
        <is>
          <t>incident-reporter</t>
        </is>
      </c>
      <c r="E2696">
        <f>HYPERLINK("http://gitlab.osmosys.co/incident-reporter/incident-reporter-api", "OQSHA-API")</f>
        <v/>
      </c>
      <c r="F2696">
        <f>HYPERLINK("http://gitlab.osmosys.co/incident-reporter/incident-reporter-api/-/merge_requests/4113", "fix: pwa user otp")</f>
        <v/>
      </c>
      <c r="G2696" t="inlineStr">
        <is>
          <t>fix/pwa_user_creation</t>
        </is>
      </c>
      <c r="H2696" t="inlineStr">
        <is>
          <t>sprint-17</t>
        </is>
      </c>
      <c r="I2696" t="inlineStr">
        <is>
          <t>merged</t>
        </is>
      </c>
      <c r="J2696" t="inlineStr">
        <is>
          <t>19d1f97e146fa713e76931b02eae10e17ca766f6</t>
        </is>
      </c>
      <c r="K2696">
        <f>HYPERLINK("http://gitlab.osmosys.co/incident-reporter/incident-reporter-api/-/merge_requests/4113#note_234162", "Why is this not constant?")</f>
        <v/>
      </c>
      <c r="L2696" t="inlineStr">
        <is>
          <t>2025-07-10 16:09:19.954 IST</t>
        </is>
      </c>
      <c r="M2696" t="inlineStr">
        <is>
          <t>Sindhusha</t>
        </is>
      </c>
      <c r="N2696" t="inlineStr">
        <is>
          <t>Yes</t>
        </is>
      </c>
      <c r="O2696" t="inlineStr">
        <is>
          <t>Yes</t>
        </is>
      </c>
      <c r="P2696" t="inlineStr">
        <is>
          <t>Sindhusha</t>
        </is>
      </c>
      <c r="Q2696" t="inlineStr">
        <is>
          <t>Bad</t>
        </is>
      </c>
    </row>
    <row r="2697">
      <c r="A2697" t="inlineStr">
        <is>
          <t>samarjeet.k</t>
        </is>
      </c>
      <c r="B2697" t="inlineStr">
        <is>
          <t>Kumar Samarjeet</t>
        </is>
      </c>
      <c r="C2697" t="inlineStr">
        <is>
          <t>samarjeet.k@osmosys.co</t>
        </is>
      </c>
      <c r="D2697" t="inlineStr">
        <is>
          <t>incident-reporter</t>
        </is>
      </c>
      <c r="E2697">
        <f>HYPERLINK("http://gitlab.osmosys.co/incident-reporter/incident-reporter-api", "OQSHA-API")</f>
        <v/>
      </c>
      <c r="F2697">
        <f>HYPERLINK("http://gitlab.osmosys.co/incident-reporter/incident-reporter-api/-/merge_requests/4113", "fix: pwa user otp")</f>
        <v/>
      </c>
      <c r="G2697" t="inlineStr">
        <is>
          <t>fix/pwa_user_creation</t>
        </is>
      </c>
      <c r="H2697" t="inlineStr">
        <is>
          <t>sprint-17</t>
        </is>
      </c>
      <c r="I2697" t="inlineStr">
        <is>
          <t>merged</t>
        </is>
      </c>
      <c r="J2697" t="inlineStr">
        <is>
          <t>19d1f97e146fa713e76931b02eae10e17ca766f6</t>
        </is>
      </c>
      <c r="K2697">
        <f>HYPERLINK("http://gitlab.osmosys.co/incident-reporter/incident-reporter-api/-/merge_requests/4113#note_234166", "Added")</f>
        <v/>
      </c>
      <c r="L2697" t="inlineStr">
        <is>
          <t>2025-07-10 16:12:05.120 IST</t>
        </is>
      </c>
      <c r="M2697" t="inlineStr">
        <is>
          <t>Kumar Samarjeet</t>
        </is>
      </c>
      <c r="N2697" t="inlineStr">
        <is>
          <t>No</t>
        </is>
      </c>
      <c r="O2697" t="inlineStr">
        <is>
          <t>Yes</t>
        </is>
      </c>
      <c r="P2697" t="inlineStr">
        <is>
          <t>Sindhusha</t>
        </is>
      </c>
      <c r="Q2697" t="inlineStr">
        <is>
          <t>Bad</t>
        </is>
      </c>
    </row>
    <row r="2698">
      <c r="A2698" t="inlineStr">
        <is>
          <t>samarjeet.k</t>
        </is>
      </c>
      <c r="B2698" t="inlineStr">
        <is>
          <t>Kumar Samarjeet</t>
        </is>
      </c>
      <c r="C2698" t="inlineStr">
        <is>
          <t>samarjeet.k@osmosys.co</t>
        </is>
      </c>
      <c r="D2698" t="inlineStr">
        <is>
          <t>incident-reporter</t>
        </is>
      </c>
      <c r="E2698">
        <f>HYPERLINK("http://gitlab.osmosys.co/incident-reporter/incident-reporter-api", "OQSHA-API")</f>
        <v/>
      </c>
      <c r="F2698">
        <f>HYPERLINK("http://gitlab.osmosys.co/incident-reporter/incident-reporter-api/-/merge_requests/4101", "fix: revert get all contractor")</f>
        <v/>
      </c>
      <c r="G2698" t="inlineStr">
        <is>
          <t>fix/revert_get_all_contractor</t>
        </is>
      </c>
      <c r="H2698" t="inlineStr">
        <is>
          <t>sprint-17</t>
        </is>
      </c>
      <c r="I2698" t="inlineStr">
        <is>
          <t>merged</t>
        </is>
      </c>
      <c r="J2698" t="inlineStr"/>
      <c r="K2698" t="inlineStr"/>
      <c r="L2698" t="inlineStr"/>
      <c r="M2698" t="inlineStr"/>
      <c r="N2698" t="inlineStr"/>
      <c r="O2698" t="inlineStr"/>
      <c r="P2698" t="inlineStr"/>
      <c r="Q2698" t="inlineStr"/>
    </row>
    <row r="2699">
      <c r="A2699" t="inlineStr">
        <is>
          <t>samarjeet.k</t>
        </is>
      </c>
      <c r="B2699" t="inlineStr">
        <is>
          <t>Kumar Samarjeet</t>
        </is>
      </c>
      <c r="C2699" t="inlineStr">
        <is>
          <t>samarjeet.k@osmosys.co</t>
        </is>
      </c>
      <c r="D2699" t="inlineStr">
        <is>
          <t>incident-reporter</t>
        </is>
      </c>
      <c r="E2699">
        <f>HYPERLINK("http://gitlab.osmosys.co/incident-reporter/incident-reporter-api", "OQSHA-API")</f>
        <v/>
      </c>
      <c r="F2699">
        <f>HYPERLINK("http://gitlab.osmosys.co/incident-reporter/incident-reporter-api/-/merge_requests/4097", "merge: sprint 16 to sprint 17")</f>
        <v/>
      </c>
      <c r="G2699" t="inlineStr">
        <is>
          <t>merge/sprint-16-sprint-17</t>
        </is>
      </c>
      <c r="H2699" t="inlineStr">
        <is>
          <t>sprint-17</t>
        </is>
      </c>
      <c r="I2699" t="inlineStr">
        <is>
          <t>merged</t>
        </is>
      </c>
      <c r="J2699" t="inlineStr"/>
      <c r="K2699" t="inlineStr"/>
      <c r="L2699" t="inlineStr"/>
      <c r="M2699" t="inlineStr"/>
      <c r="N2699" t="inlineStr"/>
      <c r="O2699" t="inlineStr"/>
      <c r="P2699" t="inlineStr"/>
      <c r="Q2699" t="inlineStr"/>
    </row>
    <row r="2700">
      <c r="A2700" t="inlineStr">
        <is>
          <t>samarjeet.k</t>
        </is>
      </c>
      <c r="B2700" t="inlineStr">
        <is>
          <t>Kumar Samarjeet</t>
        </is>
      </c>
      <c r="C2700" t="inlineStr">
        <is>
          <t>samarjeet.k@osmosys.co</t>
        </is>
      </c>
      <c r="D2700" t="inlineStr">
        <is>
          <t>incident-reporter</t>
        </is>
      </c>
      <c r="E2700">
        <f>HYPERLINK("http://gitlab.osmosys.co/incident-reporter/incident-reporter-api", "OQSHA-API")</f>
        <v/>
      </c>
      <c r="F2700">
        <f>HYPERLINK("http://gitlab.osmosys.co/incident-reporter/incident-reporter-api/-/merge_requests/4095", "fix: ptw abondon status")</f>
        <v/>
      </c>
      <c r="G2700" t="inlineStr">
        <is>
          <t>fix/ptw_abondon_status</t>
        </is>
      </c>
      <c r="H2700" t="inlineStr">
        <is>
          <t>sprint-16_v2</t>
        </is>
      </c>
      <c r="I2700" t="inlineStr">
        <is>
          <t>merged</t>
        </is>
      </c>
      <c r="J2700" t="inlineStr"/>
      <c r="K2700" t="inlineStr"/>
      <c r="L2700" t="inlineStr"/>
      <c r="M2700" t="inlineStr"/>
      <c r="N2700" t="inlineStr"/>
      <c r="O2700" t="inlineStr"/>
      <c r="P2700" t="inlineStr"/>
      <c r="Q2700" t="inlineStr"/>
    </row>
    <row r="2701">
      <c r="A2701" t="inlineStr">
        <is>
          <t>samarjeet.k</t>
        </is>
      </c>
      <c r="B2701" t="inlineStr">
        <is>
          <t>Kumar Samarjeet</t>
        </is>
      </c>
      <c r="C2701" t="inlineStr">
        <is>
          <t>samarjeet.k@osmosys.co</t>
        </is>
      </c>
      <c r="D2701" t="inlineStr">
        <is>
          <t>incident-reporter</t>
        </is>
      </c>
      <c r="E2701">
        <f>HYPERLINK("http://gitlab.osmosys.co/incident-reporter/incident-reporter-api", "OQSHA-API")</f>
        <v/>
      </c>
      <c r="F2701">
        <f>HYPERLINK("http://gitlab.osmosys.co/incident-reporter/incident-reporter-api/-/merge_requests/4087", "fix: update ptw validation comment")</f>
        <v/>
      </c>
      <c r="G2701" t="inlineStr">
        <is>
          <t>fix/validate_ptw</t>
        </is>
      </c>
      <c r="H2701" t="inlineStr">
        <is>
          <t>sprint-16_v2</t>
        </is>
      </c>
      <c r="I2701" t="inlineStr">
        <is>
          <t>merged</t>
        </is>
      </c>
      <c r="J2701" t="inlineStr"/>
      <c r="K2701" t="inlineStr"/>
      <c r="L2701" t="inlineStr"/>
      <c r="M2701" t="inlineStr"/>
      <c r="N2701" t="inlineStr"/>
      <c r="O2701" t="inlineStr"/>
      <c r="P2701" t="inlineStr"/>
      <c r="Q2701" t="inlineStr"/>
    </row>
    <row r="2702">
      <c r="A2702" t="inlineStr">
        <is>
          <t>samarjeet.k</t>
        </is>
      </c>
      <c r="B2702" t="inlineStr">
        <is>
          <t>Kumar Samarjeet</t>
        </is>
      </c>
      <c r="C2702" t="inlineStr">
        <is>
          <t>samarjeet.k@osmosys.co</t>
        </is>
      </c>
      <c r="D2702" t="inlineStr">
        <is>
          <t>incident-reporter</t>
        </is>
      </c>
      <c r="E2702">
        <f>HYPERLINK("http://gitlab.osmosys.co/incident-reporter/incident-reporter-api", "OQSHA-API")</f>
        <v/>
      </c>
      <c r="F2702">
        <f>HYPERLINK("http://gitlab.osmosys.co/incident-reporter/incident-reporter-api/-/merge_requests/4082", "fix: update get api to fetch divisions from organisation id only")</f>
        <v/>
      </c>
      <c r="G2702" t="inlineStr">
        <is>
          <t>fix/export_tickets_v2</t>
        </is>
      </c>
      <c r="H2702" t="inlineStr">
        <is>
          <t>sprint-16_v2</t>
        </is>
      </c>
      <c r="I2702" t="inlineStr">
        <is>
          <t>merged</t>
        </is>
      </c>
      <c r="J2702" t="inlineStr"/>
      <c r="K2702" t="inlineStr"/>
      <c r="L2702" t="inlineStr"/>
      <c r="M2702" t="inlineStr"/>
      <c r="N2702" t="inlineStr"/>
      <c r="O2702" t="inlineStr"/>
      <c r="P2702" t="inlineStr"/>
      <c r="Q2702" t="inlineStr"/>
    </row>
    <row r="2703">
      <c r="A2703" t="inlineStr">
        <is>
          <t>samarjeet.k</t>
        </is>
      </c>
      <c r="B2703" t="inlineStr">
        <is>
          <t>Kumar Samarjeet</t>
        </is>
      </c>
      <c r="C2703" t="inlineStr">
        <is>
          <t>samarjeet.k@osmosys.co</t>
        </is>
      </c>
      <c r="D2703" t="inlineStr">
        <is>
          <t>incident-reporter</t>
        </is>
      </c>
      <c r="E2703">
        <f>HYPERLINK("http://gitlab.osmosys.co/incident-reporter/incident-reporter-api", "OQSHA-API")</f>
        <v/>
      </c>
      <c r="F2703">
        <f>HYPERLINK("http://gitlab.osmosys.co/incident-reporter/incident-reporter-api/-/merge_requests/4080", "fix: export tickets")</f>
        <v/>
      </c>
      <c r="G2703" t="inlineStr">
        <is>
          <t>fix/export_tickets</t>
        </is>
      </c>
      <c r="H2703" t="inlineStr">
        <is>
          <t>sprint-16_v2</t>
        </is>
      </c>
      <c r="I2703" t="inlineStr">
        <is>
          <t>merged</t>
        </is>
      </c>
      <c r="J2703" t="inlineStr"/>
      <c r="K2703" t="inlineStr"/>
      <c r="L2703" t="inlineStr"/>
      <c r="M2703" t="inlineStr"/>
      <c r="N2703" t="inlineStr"/>
      <c r="O2703" t="inlineStr"/>
      <c r="P2703" t="inlineStr"/>
      <c r="Q2703" t="inlineStr"/>
    </row>
    <row r="2704">
      <c r="A2704" t="inlineStr">
        <is>
          <t>samarjeet.k</t>
        </is>
      </c>
      <c r="B2704" t="inlineStr">
        <is>
          <t>Kumar Samarjeet</t>
        </is>
      </c>
      <c r="C2704" t="inlineStr">
        <is>
          <t>samarjeet.k@osmosys.co</t>
        </is>
      </c>
      <c r="D2704" t="inlineStr">
        <is>
          <t>incident-reporter</t>
        </is>
      </c>
      <c r="E2704">
        <f>HYPERLINK("http://gitlab.osmosys.co/incident-reporter/incident-reporter-api", "OQSHA-API")</f>
        <v/>
      </c>
      <c r="F2704">
        <f>HYPERLINK("http://gitlab.osmosys.co/incident-reporter/incident-reporter-api/-/merge_requests/4072", "fix: comment out ppe reminder cron")</f>
        <v/>
      </c>
      <c r="G2704" t="inlineStr">
        <is>
          <t>fix/remove_ppe_reminder_cron_v2</t>
        </is>
      </c>
      <c r="H2704" t="inlineStr">
        <is>
          <t>sprint-17</t>
        </is>
      </c>
      <c r="I2704" t="inlineStr">
        <is>
          <t>merged</t>
        </is>
      </c>
      <c r="J2704" t="inlineStr"/>
      <c r="K2704" t="inlineStr"/>
      <c r="L2704" t="inlineStr"/>
      <c r="M2704" t="inlineStr"/>
      <c r="N2704" t="inlineStr"/>
      <c r="O2704" t="inlineStr"/>
      <c r="P2704" t="inlineStr"/>
      <c r="Q2704" t="inlineStr"/>
    </row>
    <row r="2705">
      <c r="A2705" t="inlineStr">
        <is>
          <t>samarjeet.k</t>
        </is>
      </c>
      <c r="B2705" t="inlineStr">
        <is>
          <t>Kumar Samarjeet</t>
        </is>
      </c>
      <c r="C2705" t="inlineStr">
        <is>
          <t>samarjeet.k@osmosys.co</t>
        </is>
      </c>
      <c r="D2705" t="inlineStr">
        <is>
          <t>incident-reporter</t>
        </is>
      </c>
      <c r="E2705">
        <f>HYPERLINK("http://gitlab.osmosys.co/incident-reporter/incident-reporter-api", "OQSHA-API")</f>
        <v/>
      </c>
      <c r="F2705">
        <f>HYPERLINK("http://gitlab.osmosys.co/incident-reporter/incident-reporter-api/-/merge_requests/4071", "fix: comment out ppe reminder cron")</f>
        <v/>
      </c>
      <c r="G2705" t="inlineStr">
        <is>
          <t>fix/remove_ppe_reminder_cron</t>
        </is>
      </c>
      <c r="H2705" t="inlineStr">
        <is>
          <t>sprint-16_v2</t>
        </is>
      </c>
      <c r="I2705" t="inlineStr">
        <is>
          <t>merged</t>
        </is>
      </c>
      <c r="J2705" t="inlineStr"/>
      <c r="K2705" t="inlineStr"/>
      <c r="L2705" t="inlineStr"/>
      <c r="M2705" t="inlineStr"/>
      <c r="N2705" t="inlineStr"/>
      <c r="O2705" t="inlineStr"/>
      <c r="P2705" t="inlineStr"/>
      <c r="Q2705" t="inlineStr"/>
    </row>
    <row r="2706">
      <c r="A2706" t="inlineStr">
        <is>
          <t>samarjeet.k</t>
        </is>
      </c>
      <c r="B2706" t="inlineStr">
        <is>
          <t>Kumar Samarjeet</t>
        </is>
      </c>
      <c r="C2706" t="inlineStr">
        <is>
          <t>samarjeet.k@osmosys.co</t>
        </is>
      </c>
      <c r="D2706" t="inlineStr">
        <is>
          <t>incident-reporter</t>
        </is>
      </c>
      <c r="E2706">
        <f>HYPERLINK("http://gitlab.osmosys.co/incident-reporter/incident-reporter-api", "OQSHA-API")</f>
        <v/>
      </c>
      <c r="F2706">
        <f>HYPERLINK("http://gitlab.osmosys.co/incident-reporter/incident-reporter-api/-/merge_requests/4069", "fix: get all contractors")</f>
        <v/>
      </c>
      <c r="G2706" t="inlineStr">
        <is>
          <t>fix/get_all_contractors</t>
        </is>
      </c>
      <c r="H2706" t="inlineStr">
        <is>
          <t>sprint-16_v2</t>
        </is>
      </c>
      <c r="I2706" t="inlineStr">
        <is>
          <t>merged</t>
        </is>
      </c>
      <c r="J2706" t="inlineStr"/>
      <c r="K2706" t="inlineStr"/>
      <c r="L2706" t="inlineStr"/>
      <c r="M2706" t="inlineStr"/>
      <c r="N2706" t="inlineStr"/>
      <c r="O2706" t="inlineStr"/>
      <c r="P2706" t="inlineStr"/>
      <c r="Q2706" t="inlineStr"/>
    </row>
    <row r="2707">
      <c r="A2707" t="inlineStr">
        <is>
          <t>samarjeet.k</t>
        </is>
      </c>
      <c r="B2707" t="inlineStr">
        <is>
          <t>Kumar Samarjeet</t>
        </is>
      </c>
      <c r="C2707" t="inlineStr">
        <is>
          <t>samarjeet.k@osmosys.co</t>
        </is>
      </c>
      <c r="D2707" t="inlineStr">
        <is>
          <t>incident-reporter</t>
        </is>
      </c>
      <c r="E2707">
        <f>HYPERLINK("http://gitlab.osmosys.co/incident-reporter/incident-reporter-api", "OQSHA-API")</f>
        <v/>
      </c>
      <c r="F2707">
        <f>HYPERLINK("http://gitlab.osmosys.co/incident-reporter/incident-reporter-api/-/merge_requests/4063", "fix: get all users")</f>
        <v/>
      </c>
      <c r="G2707" t="inlineStr">
        <is>
          <t>fix/get_all_users_v2</t>
        </is>
      </c>
      <c r="H2707" t="inlineStr">
        <is>
          <t>sprint-17</t>
        </is>
      </c>
      <c r="I2707" t="inlineStr">
        <is>
          <t>merged</t>
        </is>
      </c>
      <c r="J2707" t="inlineStr">
        <is>
          <t>37727750cafb4978d1f899f4bf1bafcd654e3da8</t>
        </is>
      </c>
      <c r="K2707">
        <f>HYPERLINK("http://gitlab.osmosys.co/incident-reporter/incident-reporter-api/-/merge_requests/4063#note_232742", "Are we not using this OrgId anywhere?")</f>
        <v/>
      </c>
      <c r="L2707" t="inlineStr">
        <is>
          <t>2025-07-07 18:57:25.863 IST</t>
        </is>
      </c>
      <c r="M2707" t="inlineStr">
        <is>
          <t>Sindhusha</t>
        </is>
      </c>
      <c r="N2707" t="inlineStr">
        <is>
          <t>Yes</t>
        </is>
      </c>
      <c r="O2707" t="inlineStr">
        <is>
          <t>Yes</t>
        </is>
      </c>
      <c r="P2707" t="inlineStr">
        <is>
          <t>Sindhusha</t>
        </is>
      </c>
      <c r="Q2707" t="inlineStr">
        <is>
          <t>Bad</t>
        </is>
      </c>
    </row>
    <row r="2708">
      <c r="A2708" t="inlineStr">
        <is>
          <t>samarjeet.k</t>
        </is>
      </c>
      <c r="B2708" t="inlineStr">
        <is>
          <t>Kumar Samarjeet</t>
        </is>
      </c>
      <c r="C2708" t="inlineStr">
        <is>
          <t>samarjeet.k@osmosys.co</t>
        </is>
      </c>
      <c r="D2708" t="inlineStr">
        <is>
          <t>incident-reporter</t>
        </is>
      </c>
      <c r="E2708">
        <f>HYPERLINK("http://gitlab.osmosys.co/incident-reporter/incident-reporter-api", "OQSHA-API")</f>
        <v/>
      </c>
      <c r="F2708">
        <f>HYPERLINK("http://gitlab.osmosys.co/incident-reporter/incident-reporter-api/-/merge_requests/4063", "fix: get all users")</f>
        <v/>
      </c>
      <c r="G2708" t="inlineStr">
        <is>
          <t>fix/get_all_users_v2</t>
        </is>
      </c>
      <c r="H2708" t="inlineStr">
        <is>
          <t>sprint-17</t>
        </is>
      </c>
      <c r="I2708" t="inlineStr">
        <is>
          <t>merged</t>
        </is>
      </c>
      <c r="J2708" t="inlineStr">
        <is>
          <t>37727750cafb4978d1f899f4bf1bafcd654e3da8</t>
        </is>
      </c>
      <c r="K2708">
        <f>HYPERLINK("http://gitlab.osmosys.co/incident-reporter/incident-reporter-api/-/merge_requests/4063#note_232743", "Yes discussed with sameer , and he told me to remove that as UserOrganisationAccess middle ware is present")</f>
        <v/>
      </c>
      <c r="L2708" t="inlineStr">
        <is>
          <t>2025-07-07 18:58:34.589 IST</t>
        </is>
      </c>
      <c r="M2708" t="inlineStr">
        <is>
          <t>Kumar Samarjeet</t>
        </is>
      </c>
      <c r="N2708" t="inlineStr">
        <is>
          <t>No</t>
        </is>
      </c>
      <c r="O2708" t="inlineStr">
        <is>
          <t>Yes</t>
        </is>
      </c>
      <c r="P2708" t="inlineStr">
        <is>
          <t>Sindhusha</t>
        </is>
      </c>
      <c r="Q2708" t="inlineStr">
        <is>
          <t>Bad</t>
        </is>
      </c>
    </row>
    <row r="2709">
      <c r="A2709" t="inlineStr">
        <is>
          <t>samarjeet.k</t>
        </is>
      </c>
      <c r="B2709" t="inlineStr">
        <is>
          <t>Kumar Samarjeet</t>
        </is>
      </c>
      <c r="C2709" t="inlineStr">
        <is>
          <t>samarjeet.k@osmosys.co</t>
        </is>
      </c>
      <c r="D2709" t="inlineStr">
        <is>
          <t>incident-reporter</t>
        </is>
      </c>
      <c r="E2709">
        <f>HYPERLINK("http://gitlab.osmosys.co/incident-reporter/incident-reporter-api", "OQSHA-API")</f>
        <v/>
      </c>
      <c r="F2709">
        <f>HYPERLINK("http://gitlab.osmosys.co/incident-reporter/incident-reporter-api/-/merge_requests/4062", "fix: get all users")</f>
        <v/>
      </c>
      <c r="G2709" t="inlineStr">
        <is>
          <t>fix/get_all_users</t>
        </is>
      </c>
      <c r="H2709" t="inlineStr">
        <is>
          <t>sprint-16_v2</t>
        </is>
      </c>
      <c r="I2709" t="inlineStr">
        <is>
          <t>merged</t>
        </is>
      </c>
      <c r="J2709" t="inlineStr"/>
      <c r="K2709" t="inlineStr"/>
      <c r="L2709" t="inlineStr"/>
      <c r="M2709" t="inlineStr"/>
      <c r="N2709" t="inlineStr"/>
      <c r="O2709" t="inlineStr"/>
      <c r="P2709" t="inlineStr"/>
      <c r="Q2709" t="inlineStr"/>
    </row>
    <row r="2710">
      <c r="A2710" t="inlineStr">
        <is>
          <t>samarjeet.k</t>
        </is>
      </c>
      <c r="B2710" t="inlineStr">
        <is>
          <t>Kumar Samarjeet</t>
        </is>
      </c>
      <c r="C2710" t="inlineStr">
        <is>
          <t>samarjeet.k@osmosys.co</t>
        </is>
      </c>
      <c r="D2710" t="inlineStr">
        <is>
          <t>incident-reporter</t>
        </is>
      </c>
      <c r="E2710">
        <f>HYPERLINK("http://gitlab.osmosys.co/incident-reporter/incident-reporter-api", "OQSHA-API")</f>
        <v/>
      </c>
      <c r="F2710">
        <f>HYPERLINK("http://gitlab.osmosys.co/incident-reporter/incident-reporter-api/-/merge_requests/4056", "fix: export ptw")</f>
        <v/>
      </c>
      <c r="G2710" t="inlineStr">
        <is>
          <t>fix/export_ptw</t>
        </is>
      </c>
      <c r="H2710" t="inlineStr">
        <is>
          <t>sprint-16_v2</t>
        </is>
      </c>
      <c r="I2710" t="inlineStr">
        <is>
          <t>merged</t>
        </is>
      </c>
      <c r="J2710" t="inlineStr"/>
      <c r="K2710" t="inlineStr"/>
      <c r="L2710" t="inlineStr"/>
      <c r="M2710" t="inlineStr"/>
      <c r="N2710" t="inlineStr"/>
      <c r="O2710" t="inlineStr"/>
      <c r="P2710" t="inlineStr"/>
      <c r="Q2710" t="inlineStr"/>
    </row>
    <row r="2711">
      <c r="A2711" t="inlineStr">
        <is>
          <t>samarjeet.k</t>
        </is>
      </c>
      <c r="B2711" t="inlineStr">
        <is>
          <t>Kumar Samarjeet</t>
        </is>
      </c>
      <c r="C2711" t="inlineStr">
        <is>
          <t>samarjeet.k@osmosys.co</t>
        </is>
      </c>
      <c r="D2711" t="inlineStr">
        <is>
          <t>incident-reporter</t>
        </is>
      </c>
      <c r="E2711">
        <f>HYPERLINK("http://gitlab.osmosys.co/incident-reporter/incident-reporter-api", "OQSHA-API")</f>
        <v/>
      </c>
      <c r="F2711">
        <f>HYPERLINK("http://gitlab.osmosys.co/incident-reporter/incident-reporter-api/-/merge_requests/4053", "Draft: feat: view user visit")</f>
        <v/>
      </c>
      <c r="G2711" t="inlineStr">
        <is>
          <t>feat/view_user_visit_v2</t>
        </is>
      </c>
      <c r="H2711" t="inlineStr">
        <is>
          <t>feat/add_user_visit_v2</t>
        </is>
      </c>
      <c r="I2711" t="inlineStr">
        <is>
          <t>opened</t>
        </is>
      </c>
      <c r="J2711" t="inlineStr"/>
      <c r="K2711" t="inlineStr"/>
      <c r="L2711" t="inlineStr"/>
      <c r="M2711" t="inlineStr"/>
      <c r="N2711" t="inlineStr"/>
      <c r="O2711" t="inlineStr"/>
      <c r="P2711" t="inlineStr"/>
      <c r="Q2711" t="inlineStr"/>
    </row>
    <row r="2712">
      <c r="A2712" t="inlineStr">
        <is>
          <t>samarjeet.k</t>
        </is>
      </c>
      <c r="B2712" t="inlineStr">
        <is>
          <t>Kumar Samarjeet</t>
        </is>
      </c>
      <c r="C2712" t="inlineStr">
        <is>
          <t>samarjeet.k@osmosys.co</t>
        </is>
      </c>
      <c r="D2712" t="inlineStr">
        <is>
          <t>incident-reporter</t>
        </is>
      </c>
      <c r="E2712">
        <f>HYPERLINK("http://gitlab.osmosys.co/incident-reporter/incident-reporter-api", "OQSHA-API")</f>
        <v/>
      </c>
      <c r="F2712">
        <f>HYPERLINK("http://gitlab.osmosys.co/incident-reporter/incident-reporter-api/-/merge_requests/4052", "feat: add user visit")</f>
        <v/>
      </c>
      <c r="G2712" t="inlineStr">
        <is>
          <t>feat/add_user_visit_v2</t>
        </is>
      </c>
      <c r="H2712" t="inlineStr">
        <is>
          <t>sprint-17</t>
        </is>
      </c>
      <c r="I2712" t="inlineStr">
        <is>
          <t>opened</t>
        </is>
      </c>
      <c r="J2712" t="inlineStr"/>
      <c r="K2712" t="inlineStr"/>
      <c r="L2712" t="inlineStr"/>
      <c r="M2712" t="inlineStr"/>
      <c r="N2712" t="inlineStr"/>
      <c r="O2712" t="inlineStr"/>
      <c r="P2712" t="inlineStr"/>
      <c r="Q2712" t="inlineStr"/>
    </row>
    <row r="2713">
      <c r="A2713" t="inlineStr">
        <is>
          <t>samarjeet.k</t>
        </is>
      </c>
      <c r="B2713" t="inlineStr">
        <is>
          <t>Kumar Samarjeet</t>
        </is>
      </c>
      <c r="C2713" t="inlineStr">
        <is>
          <t>samarjeet.k@osmosys.co</t>
        </is>
      </c>
      <c r="D2713" t="inlineStr">
        <is>
          <t>incident-reporter</t>
        </is>
      </c>
      <c r="E2713">
        <f>HYPERLINK("http://gitlab.osmosys.co/incident-reporter/incident-reporter-api", "OQSHA-API")</f>
        <v/>
      </c>
      <c r="F2713">
        <f>HYPERLINK("http://gitlab.osmosys.co/incident-reporter/incident-reporter-api/-/merge_requests/4045", "fix: auto close helper")</f>
        <v/>
      </c>
      <c r="G2713" t="inlineStr">
        <is>
          <t>fix/auto_close_helper_v2</t>
        </is>
      </c>
      <c r="H2713" t="inlineStr">
        <is>
          <t>sprint-16_v2</t>
        </is>
      </c>
      <c r="I2713" t="inlineStr">
        <is>
          <t>merged</t>
        </is>
      </c>
      <c r="J2713" t="inlineStr">
        <is>
          <t>37085c4a79ce09b5295fdfe0b41f08d9b735a64e</t>
        </is>
      </c>
      <c r="K2713">
        <f>HYPERLINK("http://gitlab.osmosys.co/incident-reporter/incident-reporter-api/-/merge_requests/4045#note_232069", "what is the change here? Are these only formatting issues?")</f>
        <v/>
      </c>
      <c r="L2713" t="inlineStr">
        <is>
          <t>2025-07-04 14:11:13.003 IST</t>
        </is>
      </c>
      <c r="M2713" t="inlineStr">
        <is>
          <t>Sindhusha</t>
        </is>
      </c>
      <c r="N2713" t="inlineStr">
        <is>
          <t>Yes</t>
        </is>
      </c>
      <c r="O2713" t="inlineStr">
        <is>
          <t>Yes</t>
        </is>
      </c>
      <c r="P2713" t="inlineStr">
        <is>
          <t>Sindhusha</t>
        </is>
      </c>
      <c r="Q2713" t="inlineStr">
        <is>
          <t>Bad</t>
        </is>
      </c>
    </row>
    <row r="2714">
      <c r="A2714" t="inlineStr">
        <is>
          <t>samarjeet.k</t>
        </is>
      </c>
      <c r="B2714" t="inlineStr">
        <is>
          <t>Kumar Samarjeet</t>
        </is>
      </c>
      <c r="C2714" t="inlineStr">
        <is>
          <t>samarjeet.k@osmosys.co</t>
        </is>
      </c>
      <c r="D2714" t="inlineStr">
        <is>
          <t>incident-reporter</t>
        </is>
      </c>
      <c r="E2714">
        <f>HYPERLINK("http://gitlab.osmosys.co/incident-reporter/incident-reporter-api", "OQSHA-API")</f>
        <v/>
      </c>
      <c r="F2714">
        <f>HYPERLINK("http://gitlab.osmosys.co/incident-reporter/incident-reporter-api/-/merge_requests/4045", "fix: auto close helper")</f>
        <v/>
      </c>
      <c r="G2714" t="inlineStr">
        <is>
          <t>fix/auto_close_helper_v2</t>
        </is>
      </c>
      <c r="H2714" t="inlineStr">
        <is>
          <t>sprint-16_v2</t>
        </is>
      </c>
      <c r="I2714" t="inlineStr">
        <is>
          <t>merged</t>
        </is>
      </c>
      <c r="J2714" t="inlineStr">
        <is>
          <t>37085c4a79ce09b5295fdfe0b41f08d9b735a64e</t>
        </is>
      </c>
      <c r="K2714">
        <f>HYPERLINK("http://gitlab.osmosys.co/incident-reporter/incident-reporter-api/-/merge_requests/4045#note_232082", "History for abondoned status is not getting generated in TS helper function, as I looked into the code, I found that it should be a separate if condition irrespective of which ptw ids, you can open up the TS helper and look what was the issue, I just removed this code from a If condition and a placed it as an independent code which will not check ptw ids rather it will check whether stringValueForPtwHistory  is present or not")</f>
        <v/>
      </c>
      <c r="L2714" t="inlineStr">
        <is>
          <t>2025-07-04 14:18:58.644 IST</t>
        </is>
      </c>
      <c r="M2714" t="inlineStr">
        <is>
          <t>Kumar Samarjeet</t>
        </is>
      </c>
      <c r="N2714" t="inlineStr">
        <is>
          <t>No</t>
        </is>
      </c>
      <c r="O2714" t="inlineStr">
        <is>
          <t>Yes</t>
        </is>
      </c>
      <c r="P2714" t="inlineStr">
        <is>
          <t>Sindhusha</t>
        </is>
      </c>
      <c r="Q2714" t="inlineStr">
        <is>
          <t>Bad</t>
        </is>
      </c>
    </row>
    <row r="2715">
      <c r="A2715" t="inlineStr">
        <is>
          <t>samarjeet.k</t>
        </is>
      </c>
      <c r="B2715" t="inlineStr">
        <is>
          <t>Kumar Samarjeet</t>
        </is>
      </c>
      <c r="C2715" t="inlineStr">
        <is>
          <t>samarjeet.k@osmosys.co</t>
        </is>
      </c>
      <c r="D2715" t="inlineStr">
        <is>
          <t>incident-reporter</t>
        </is>
      </c>
      <c r="E2715">
        <f>HYPERLINK("http://gitlab.osmosys.co/incident-reporter/incident-reporter-api", "OQSHA-API")</f>
        <v/>
      </c>
      <c r="F2715">
        <f>HYPERLINK("http://gitlab.osmosys.co/incident-reporter/incident-reporter-api/-/merge_requests/4045", "fix: auto close helper")</f>
        <v/>
      </c>
      <c r="G2715" t="inlineStr">
        <is>
          <t>fix/auto_close_helper_v2</t>
        </is>
      </c>
      <c r="H2715" t="inlineStr">
        <is>
          <t>sprint-16_v2</t>
        </is>
      </c>
      <c r="I2715" t="inlineStr">
        <is>
          <t>merged</t>
        </is>
      </c>
      <c r="J2715" t="inlineStr">
        <is>
          <t>37085c4a79ce09b5295fdfe0b41f08d9b735a64e</t>
        </is>
      </c>
      <c r="K2715">
        <f>HYPERLINK("http://gitlab.osmosys.co/incident-reporter/incident-reporter-api/-/merge_requests/4045#note_232087", "I believe this should be part of other bug fix. DO NOT merge bug fixes in one PR. Accepting this for now.")</f>
        <v/>
      </c>
      <c r="L2715" t="inlineStr">
        <is>
          <t>2025-07-04 14:25:42.770 IST</t>
        </is>
      </c>
      <c r="M2715" t="inlineStr">
        <is>
          <t>Sindhusha</t>
        </is>
      </c>
      <c r="N2715" t="inlineStr">
        <is>
          <t>Yes</t>
        </is>
      </c>
      <c r="O2715" t="inlineStr">
        <is>
          <t>Yes</t>
        </is>
      </c>
      <c r="P2715" t="inlineStr">
        <is>
          <t>Sindhusha</t>
        </is>
      </c>
      <c r="Q2715" t="inlineStr">
        <is>
          <t>Bad</t>
        </is>
      </c>
    </row>
    <row r="2716">
      <c r="A2716" t="inlineStr">
        <is>
          <t>samarjeet.k</t>
        </is>
      </c>
      <c r="B2716" t="inlineStr">
        <is>
          <t>Kumar Samarjeet</t>
        </is>
      </c>
      <c r="C2716" t="inlineStr">
        <is>
          <t>samarjeet.k@osmosys.co</t>
        </is>
      </c>
      <c r="D2716" t="inlineStr">
        <is>
          <t>incident-reporter</t>
        </is>
      </c>
      <c r="E2716">
        <f>HYPERLINK("http://gitlab.osmosys.co/incident-reporter/incident-reporter-api", "OQSHA-API")</f>
        <v/>
      </c>
      <c r="F2716">
        <f>HYPERLINK("http://gitlab.osmosys.co/incident-reporter/incident-reporter-api/-/merge_requests/4045", "fix: auto close helper")</f>
        <v/>
      </c>
      <c r="G2716" t="inlineStr">
        <is>
          <t>fix/auto_close_helper_v2</t>
        </is>
      </c>
      <c r="H2716" t="inlineStr">
        <is>
          <t>sprint-16_v2</t>
        </is>
      </c>
      <c r="I2716" t="inlineStr">
        <is>
          <t>merged</t>
        </is>
      </c>
      <c r="J2716" t="inlineStr">
        <is>
          <t>2150432295c87865c8c1d98300ee49d9a68b8377</t>
        </is>
      </c>
      <c r="K2716">
        <f>HYPERLINK("http://gitlab.osmosys.co/incident-reporter/incident-reporter-api/-/merge_requests/4045#note_232070", "What are we trying to do here?")</f>
        <v/>
      </c>
      <c r="L2716" t="inlineStr">
        <is>
          <t>2025-07-04 14:11:40.197 IST</t>
        </is>
      </c>
      <c r="M2716" t="inlineStr">
        <is>
          <t>Sindhusha</t>
        </is>
      </c>
      <c r="N2716" t="inlineStr">
        <is>
          <t>Yes</t>
        </is>
      </c>
      <c r="O2716" t="inlineStr">
        <is>
          <t>Yes</t>
        </is>
      </c>
      <c r="P2716" t="inlineStr">
        <is>
          <t>Sindhusha</t>
        </is>
      </c>
      <c r="Q2716" t="inlineStr">
        <is>
          <t>Bad</t>
        </is>
      </c>
    </row>
    <row r="2717">
      <c r="A2717" t="inlineStr">
        <is>
          <t>samarjeet.k</t>
        </is>
      </c>
      <c r="B2717" t="inlineStr">
        <is>
          <t>Kumar Samarjeet</t>
        </is>
      </c>
      <c r="C2717" t="inlineStr">
        <is>
          <t>samarjeet.k@osmosys.co</t>
        </is>
      </c>
      <c r="D2717" t="inlineStr">
        <is>
          <t>incident-reporter</t>
        </is>
      </c>
      <c r="E2717">
        <f>HYPERLINK("http://gitlab.osmosys.co/incident-reporter/incident-reporter-api", "OQSHA-API")</f>
        <v/>
      </c>
      <c r="F2717">
        <f>HYPERLINK("http://gitlab.osmosys.co/incident-reporter/incident-reporter-api/-/merge_requests/4045", "fix: auto close helper")</f>
        <v/>
      </c>
      <c r="G2717" t="inlineStr">
        <is>
          <t>fix/auto_close_helper_v2</t>
        </is>
      </c>
      <c r="H2717" t="inlineStr">
        <is>
          <t>sprint-16_v2</t>
        </is>
      </c>
      <c r="I2717" t="inlineStr">
        <is>
          <t>merged</t>
        </is>
      </c>
      <c r="J2717" t="inlineStr">
        <is>
          <t>2150432295c87865c8c1d98300ee49d9a68b8377</t>
        </is>
      </c>
      <c r="K2717">
        <f>HYPERLINK("http://gitlab.osmosys.co/incident-reporter/incident-reporter-api/-/merge_requests/4045#note_232077", "For some reason permitToWorkIds is passed as null here even after null validation, So in order to secure that, I am fetching those ids which are valid and making sure that if validPtwIds is empty then this query wont run")</f>
        <v/>
      </c>
      <c r="L2717" t="inlineStr">
        <is>
          <t>2025-07-04 14:15:14.992 IST</t>
        </is>
      </c>
      <c r="M2717" t="inlineStr">
        <is>
          <t>Kumar Samarjeet</t>
        </is>
      </c>
      <c r="N2717" t="inlineStr">
        <is>
          <t>No</t>
        </is>
      </c>
      <c r="O2717" t="inlineStr">
        <is>
          <t>Yes</t>
        </is>
      </c>
      <c r="P2717" t="inlineStr">
        <is>
          <t>Sindhusha</t>
        </is>
      </c>
      <c r="Q2717" t="inlineStr">
        <is>
          <t>Bad</t>
        </is>
      </c>
    </row>
    <row r="2718">
      <c r="A2718" t="inlineStr">
        <is>
          <t>samarjeet.k</t>
        </is>
      </c>
      <c r="B2718" t="inlineStr">
        <is>
          <t>Kumar Samarjeet</t>
        </is>
      </c>
      <c r="C2718" t="inlineStr">
        <is>
          <t>samarjeet.k@osmosys.co</t>
        </is>
      </c>
      <c r="D2718" t="inlineStr">
        <is>
          <t>incident-reporter</t>
        </is>
      </c>
      <c r="E2718">
        <f>HYPERLINK("http://gitlab.osmosys.co/incident-reporter/incident-reporter-api", "OQSHA-API")</f>
        <v/>
      </c>
      <c r="F2718">
        <f>HYPERLINK("http://gitlab.osmosys.co/incident-reporter/incident-reporter-api/-/merge_requests/4045", "fix: auto close helper")</f>
        <v/>
      </c>
      <c r="G2718" t="inlineStr">
        <is>
          <t>fix/auto_close_helper_v2</t>
        </is>
      </c>
      <c r="H2718" t="inlineStr">
        <is>
          <t>sprint-16_v2</t>
        </is>
      </c>
      <c r="I2718" t="inlineStr">
        <is>
          <t>merged</t>
        </is>
      </c>
      <c r="J2718" t="inlineStr">
        <is>
          <t>2150432295c87865c8c1d98300ee49d9a68b8377</t>
        </is>
      </c>
      <c r="K2718">
        <f>HYPERLINK("http://gitlab.osmosys.co/incident-reporter/incident-reporter-api/-/merge_requests/4045#note_232083", "THis is not a reliable fix. This seems to be redundant. If you see permitToWorkIds is passed as null or 0, you can just add that check. looping through it &amp; checking if id has a value or not is not valid case at all. id will not be NULL in any case.")</f>
        <v/>
      </c>
      <c r="L2718" t="inlineStr">
        <is>
          <t>2025-07-04 14:21:16.886 IST</t>
        </is>
      </c>
      <c r="M2718" t="inlineStr">
        <is>
          <t>Sindhusha</t>
        </is>
      </c>
      <c r="N2718" t="inlineStr">
        <is>
          <t>Yes</t>
        </is>
      </c>
      <c r="O2718" t="inlineStr">
        <is>
          <t>Yes</t>
        </is>
      </c>
      <c r="P2718" t="inlineStr">
        <is>
          <t>Sindhusha</t>
        </is>
      </c>
      <c r="Q2718" t="inlineStr">
        <is>
          <t>Bad</t>
        </is>
      </c>
    </row>
    <row r="2719">
      <c r="A2719" t="inlineStr">
        <is>
          <t>samarjeet.k</t>
        </is>
      </c>
      <c r="B2719" t="inlineStr">
        <is>
          <t>Kumar Samarjeet</t>
        </is>
      </c>
      <c r="C2719" t="inlineStr">
        <is>
          <t>samarjeet.k@osmosys.co</t>
        </is>
      </c>
      <c r="D2719" t="inlineStr">
        <is>
          <t>incident-reporter</t>
        </is>
      </c>
      <c r="E2719">
        <f>HYPERLINK("http://gitlab.osmosys.co/incident-reporter/incident-reporter-api", "OQSHA-API")</f>
        <v/>
      </c>
      <c r="F2719">
        <f>HYPERLINK("http://gitlab.osmosys.co/incident-reporter/incident-reporter-api/-/merge_requests/4045", "fix: auto close helper")</f>
        <v/>
      </c>
      <c r="G2719" t="inlineStr">
        <is>
          <t>fix/auto_close_helper_v2</t>
        </is>
      </c>
      <c r="H2719" t="inlineStr">
        <is>
          <t>sprint-16_v2</t>
        </is>
      </c>
      <c r="I2719" t="inlineStr">
        <is>
          <t>merged</t>
        </is>
      </c>
      <c r="J2719" t="inlineStr">
        <is>
          <t>2150432295c87865c8c1d98300ee49d9a68b8377</t>
        </is>
      </c>
      <c r="K2719">
        <f>HYPERLINK("http://gitlab.osmosys.co/incident-reporter/incident-reporter-api/-/merge_requests/4045#note_232093", "Looping over the data, not on db call Sindhu, It's just a safety that it will enusre if any ptw ids is not present then it will not run that query itself")</f>
        <v/>
      </c>
      <c r="L2719" t="inlineStr">
        <is>
          <t>2025-07-04 14:40:44.658 IST</t>
        </is>
      </c>
      <c r="M2719" t="inlineStr">
        <is>
          <t>Kumar Samarjeet</t>
        </is>
      </c>
      <c r="N2719" t="inlineStr">
        <is>
          <t>No</t>
        </is>
      </c>
      <c r="O2719" t="inlineStr">
        <is>
          <t>Yes</t>
        </is>
      </c>
      <c r="P2719" t="inlineStr">
        <is>
          <t>Sindhusha</t>
        </is>
      </c>
      <c r="Q2719" t="inlineStr">
        <is>
          <t>Bad</t>
        </is>
      </c>
    </row>
    <row r="2720">
      <c r="A2720" t="inlineStr">
        <is>
          <t>samarjeet.k</t>
        </is>
      </c>
      <c r="B2720" t="inlineStr">
        <is>
          <t>Kumar Samarjeet</t>
        </is>
      </c>
      <c r="C2720" t="inlineStr">
        <is>
          <t>samarjeet.k@osmosys.co</t>
        </is>
      </c>
      <c r="D2720" t="inlineStr">
        <is>
          <t>incident-reporter</t>
        </is>
      </c>
      <c r="E2720">
        <f>HYPERLINK("http://gitlab.osmosys.co/incident-reporter/incident-reporter-api", "OQSHA-API")</f>
        <v/>
      </c>
      <c r="F2720">
        <f>HYPERLINK("http://gitlab.osmosys.co/incident-reporter/incident-reporter-api/-/merge_requests/4045", "fix: auto close helper")</f>
        <v/>
      </c>
      <c r="G2720" t="inlineStr">
        <is>
          <t>fix/auto_close_helper_v2</t>
        </is>
      </c>
      <c r="H2720" t="inlineStr">
        <is>
          <t>sprint-16_v2</t>
        </is>
      </c>
      <c r="I2720" t="inlineStr">
        <is>
          <t>merged</t>
        </is>
      </c>
      <c r="J2720" t="inlineStr">
        <is>
          <t>2150432295c87865c8c1d98300ee49d9a68b8377</t>
        </is>
      </c>
      <c r="K2720">
        <f>HYPERLINK("http://gitlab.osmosys.co/incident-reporter/incident-reporter-api/-/merge_requests/4045#note_232108", "I see you have removed it. resolving this comment.")</f>
        <v/>
      </c>
      <c r="L2720" t="inlineStr">
        <is>
          <t>2025-07-04 15:27:01.561 IST</t>
        </is>
      </c>
      <c r="M2720" t="inlineStr">
        <is>
          <t>Sindhusha</t>
        </is>
      </c>
      <c r="N2720" t="inlineStr">
        <is>
          <t>Yes</t>
        </is>
      </c>
      <c r="O2720" t="inlineStr">
        <is>
          <t>Yes</t>
        </is>
      </c>
      <c r="P2720" t="inlineStr">
        <is>
          <t>Sindhusha</t>
        </is>
      </c>
      <c r="Q2720" t="inlineStr">
        <is>
          <t>Bad</t>
        </is>
      </c>
    </row>
    <row r="2721">
      <c r="A2721" t="inlineStr">
        <is>
          <t>samarjeet.k</t>
        </is>
      </c>
      <c r="B2721" t="inlineStr">
        <is>
          <t>Kumar Samarjeet</t>
        </is>
      </c>
      <c r="C2721" t="inlineStr">
        <is>
          <t>samarjeet.k@osmosys.co</t>
        </is>
      </c>
      <c r="D2721" t="inlineStr">
        <is>
          <t>incident-reporter</t>
        </is>
      </c>
      <c r="E2721">
        <f>HYPERLINK("http://gitlab.osmosys.co/incident-reporter/incident-reporter-api", "OQSHA-API")</f>
        <v/>
      </c>
      <c r="F2721">
        <f>HYPERLINK("http://gitlab.osmosys.co/incident-reporter/incident-reporter-api/-/merge_requests/4045", "fix: auto close helper")</f>
        <v/>
      </c>
      <c r="G2721" t="inlineStr">
        <is>
          <t>fix/auto_close_helper_v2</t>
        </is>
      </c>
      <c r="H2721" t="inlineStr">
        <is>
          <t>sprint-16_v2</t>
        </is>
      </c>
      <c r="I2721" t="inlineStr">
        <is>
          <t>merged</t>
        </is>
      </c>
      <c r="J2721" t="inlineStr">
        <is>
          <t>9cf7ed2ea209b65a05dfdef82fdded04fe0e3de2</t>
        </is>
      </c>
      <c r="K2721">
        <f>HYPERLINK("http://gitlab.osmosys.co/incident-reporter/incident-reporter-api/-/merge_requests/4045#note_232071", "Why did we add this check 'abandonedPtw' before in your PR &amp; not ids")</f>
        <v/>
      </c>
      <c r="L2721" t="inlineStr">
        <is>
          <t>2025-07-04 14:12:17.137 IST</t>
        </is>
      </c>
      <c r="M2721" t="inlineStr">
        <is>
          <t>Sindhusha</t>
        </is>
      </c>
      <c r="N2721" t="inlineStr">
        <is>
          <t>Yes</t>
        </is>
      </c>
      <c r="O2721" t="inlineStr">
        <is>
          <t>Yes</t>
        </is>
      </c>
      <c r="P2721" t="inlineStr">
        <is>
          <t>Sindhusha</t>
        </is>
      </c>
      <c r="Q2721" t="inlineStr">
        <is>
          <t>Bad</t>
        </is>
      </c>
    </row>
    <row r="2722">
      <c r="A2722" t="inlineStr">
        <is>
          <t>samarjeet.k</t>
        </is>
      </c>
      <c r="B2722" t="inlineStr">
        <is>
          <t>Kumar Samarjeet</t>
        </is>
      </c>
      <c r="C2722" t="inlineStr">
        <is>
          <t>samarjeet.k@osmosys.co</t>
        </is>
      </c>
      <c r="D2722" t="inlineStr">
        <is>
          <t>incident-reporter</t>
        </is>
      </c>
      <c r="E2722">
        <f>HYPERLINK("http://gitlab.osmosys.co/incident-reporter/incident-reporter-api", "OQSHA-API")</f>
        <v/>
      </c>
      <c r="F2722">
        <f>HYPERLINK("http://gitlab.osmosys.co/incident-reporter/incident-reporter-api/-/merge_requests/4045", "fix: auto close helper")</f>
        <v/>
      </c>
      <c r="G2722" t="inlineStr">
        <is>
          <t>fix/auto_close_helper_v2</t>
        </is>
      </c>
      <c r="H2722" t="inlineStr">
        <is>
          <t>sprint-16_v2</t>
        </is>
      </c>
      <c r="I2722" t="inlineStr">
        <is>
          <t>merged</t>
        </is>
      </c>
      <c r="J2722" t="inlineStr">
        <is>
          <t>9cf7ed2ea209b65a05dfdef82fdded04fe0e3de2</t>
        </is>
      </c>
      <c r="K2722">
        <f>HYPERLINK("http://gitlab.osmosys.co/incident-reporter/incident-reporter-api/-/merge_requests/4045#note_232080", "It's not the issue - Because abondonedPtwIds is being fetched from abondonedPtw, So if we add that condition also it should work. But in logs it is not the point of here, the above line is causing the issue if ptw Ids is empty")</f>
        <v/>
      </c>
      <c r="L2722" t="inlineStr">
        <is>
          <t>2025-07-04 14:17:07.816 IST</t>
        </is>
      </c>
      <c r="M2722" t="inlineStr">
        <is>
          <t>Kumar Samarjeet</t>
        </is>
      </c>
      <c r="N2722" t="inlineStr">
        <is>
          <t>No</t>
        </is>
      </c>
      <c r="O2722" t="inlineStr">
        <is>
          <t>Yes</t>
        </is>
      </c>
      <c r="P2722" t="inlineStr">
        <is>
          <t>Sindhusha</t>
        </is>
      </c>
      <c r="Q2722" t="inlineStr">
        <is>
          <t>Bad</t>
        </is>
      </c>
    </row>
    <row r="2723">
      <c r="A2723" t="inlineStr">
        <is>
          <t>samarjeet.k</t>
        </is>
      </c>
      <c r="B2723" t="inlineStr">
        <is>
          <t>Kumar Samarjeet</t>
        </is>
      </c>
      <c r="C2723" t="inlineStr">
        <is>
          <t>samarjeet.k@osmosys.co</t>
        </is>
      </c>
      <c r="D2723" t="inlineStr">
        <is>
          <t>incident-reporter</t>
        </is>
      </c>
      <c r="E2723">
        <f>HYPERLINK("http://gitlab.osmosys.co/incident-reporter/incident-reporter-api", "OQSHA-API")</f>
        <v/>
      </c>
      <c r="F2723">
        <f>HYPERLINK("http://gitlab.osmosys.co/incident-reporter/incident-reporter-api/-/merge_requests/4045", "fix: auto close helper")</f>
        <v/>
      </c>
      <c r="G2723" t="inlineStr">
        <is>
          <t>fix/auto_close_helper_v2</t>
        </is>
      </c>
      <c r="H2723" t="inlineStr">
        <is>
          <t>sprint-16_v2</t>
        </is>
      </c>
      <c r="I2723" t="inlineStr">
        <is>
          <t>merged</t>
        </is>
      </c>
      <c r="J2723" t="inlineStr">
        <is>
          <t>9cf7ed2ea209b65a05dfdef82fdded04fe0e3de2</t>
        </is>
      </c>
      <c r="K2723">
        <f>HYPERLINK("http://gitlab.osmosys.co/incident-reporter/incident-reporter-api/-/merge_requests/4045#note_232086", "I could abandonedPtw.Any is already added as a check here - https://gitlab.osmosys.co/incident-reporter/incident-reporter-api/-/blob/fff26f65808923ab0856f2882cd9204de06d42cd/IncidentReporter/IncidentReporter.RenewalReminder/Helpers/PTWAutoCloseHelper.cs#L107
So your previous fix deployed doesn't have any significance. I will accept this fix for now.")</f>
        <v/>
      </c>
      <c r="L2723" t="inlineStr">
        <is>
          <t>2025-07-04 14:23:57.835 IST</t>
        </is>
      </c>
      <c r="M2723" t="inlineStr">
        <is>
          <t>Sindhusha</t>
        </is>
      </c>
      <c r="N2723" t="inlineStr">
        <is>
          <t>Yes</t>
        </is>
      </c>
      <c r="O2723" t="inlineStr">
        <is>
          <t>Yes</t>
        </is>
      </c>
      <c r="P2723" t="inlineStr">
        <is>
          <t>Sindhusha</t>
        </is>
      </c>
      <c r="Q2723" t="inlineStr">
        <is>
          <t>Bad</t>
        </is>
      </c>
    </row>
    <row r="2724">
      <c r="A2724" t="inlineStr">
        <is>
          <t>samarjeet.k</t>
        </is>
      </c>
      <c r="B2724" t="inlineStr">
        <is>
          <t>Kumar Samarjeet</t>
        </is>
      </c>
      <c r="C2724" t="inlineStr">
        <is>
          <t>samarjeet.k@osmosys.co</t>
        </is>
      </c>
      <c r="D2724" t="inlineStr">
        <is>
          <t>incident-reporter</t>
        </is>
      </c>
      <c r="E2724">
        <f>HYPERLINK("http://gitlab.osmosys.co/incident-reporter/incident-reporter-api", "OQSHA-API")</f>
        <v/>
      </c>
      <c r="F2724">
        <f>HYPERLINK("http://gitlab.osmosys.co/incident-reporter/incident-reporter-api/-/merge_requests/4045", "fix: auto close helper")</f>
        <v/>
      </c>
      <c r="G2724" t="inlineStr">
        <is>
          <t>fix/auto_close_helper_v2</t>
        </is>
      </c>
      <c r="H2724" t="inlineStr">
        <is>
          <t>sprint-16_v2</t>
        </is>
      </c>
      <c r="I2724" t="inlineStr">
        <is>
          <t>merged</t>
        </is>
      </c>
      <c r="J2724" t="inlineStr">
        <is>
          <t>7a312bfd2faf9eb9639cbf364478a78a2ce45fa3</t>
        </is>
      </c>
      <c r="K2724">
        <f>HYPERLINK("http://gitlab.osmosys.co/incident-reporter/incident-reporter-api/-/merge_requests/4045#note_232081", "I looked into log, I found the issue is coming from this, if ptw ids are empty")</f>
        <v/>
      </c>
      <c r="L2724" t="inlineStr">
        <is>
          <t>2025-07-04 14:17:27.704 IST</t>
        </is>
      </c>
      <c r="M2724" t="inlineStr">
        <is>
          <t>Kumar Samarjeet</t>
        </is>
      </c>
      <c r="N2724" t="inlineStr">
        <is>
          <t>No</t>
        </is>
      </c>
      <c r="O2724" t="inlineStr">
        <is>
          <t>Yes</t>
        </is>
      </c>
      <c r="P2724" t="inlineStr">
        <is>
          <t>Sindhusha</t>
        </is>
      </c>
      <c r="Q2724" t="inlineStr">
        <is>
          <t>Neutral</t>
        </is>
      </c>
    </row>
    <row r="2725">
      <c r="A2725" t="inlineStr">
        <is>
          <t>samarjeet.k</t>
        </is>
      </c>
      <c r="B2725" t="inlineStr">
        <is>
          <t>Kumar Samarjeet</t>
        </is>
      </c>
      <c r="C2725" t="inlineStr">
        <is>
          <t>samarjeet.k@osmosys.co</t>
        </is>
      </c>
      <c r="D2725" t="inlineStr">
        <is>
          <t>incident-reporter</t>
        </is>
      </c>
      <c r="E2725">
        <f>HYPERLINK("http://gitlab.osmosys.co/incident-reporter/incident-reporter-api", "OQSHA-API")</f>
        <v/>
      </c>
      <c r="F2725">
        <f>HYPERLINK("http://gitlab.osmosys.co/incident-reporter/incident-reporter-api/-/merge_requests/4045", "fix: auto close helper")</f>
        <v/>
      </c>
      <c r="G2725" t="inlineStr">
        <is>
          <t>fix/auto_close_helper_v2</t>
        </is>
      </c>
      <c r="H2725" t="inlineStr">
        <is>
          <t>sprint-16_v2</t>
        </is>
      </c>
      <c r="I2725" t="inlineStr">
        <is>
          <t>merged</t>
        </is>
      </c>
      <c r="J2725" t="inlineStr">
        <is>
          <t>95294d4357e116cda346e7f85d33c92d41e9e81b</t>
        </is>
      </c>
      <c r="K2725">
        <f>HYPERLINK("http://gitlab.osmosys.co/incident-reporter/incident-reporter-api/-/merge_requests/4045#note_232111", "@samarjeet.k  - Update PR description")</f>
        <v/>
      </c>
      <c r="L2725" t="inlineStr">
        <is>
          <t>2025-07-04 15:29:08.497 IST</t>
        </is>
      </c>
      <c r="M2725" t="inlineStr">
        <is>
          <t>Sindhusha</t>
        </is>
      </c>
      <c r="N2725" t="inlineStr">
        <is>
          <t>Yes</t>
        </is>
      </c>
      <c r="O2725" t="inlineStr">
        <is>
          <t>No</t>
        </is>
      </c>
      <c r="P2725" t="inlineStr"/>
      <c r="Q2725" t="inlineStr">
        <is>
          <t>Bad</t>
        </is>
      </c>
    </row>
    <row r="2726">
      <c r="A2726" t="inlineStr">
        <is>
          <t>samarjeet.k</t>
        </is>
      </c>
      <c r="B2726" t="inlineStr">
        <is>
          <t>Kumar Samarjeet</t>
        </is>
      </c>
      <c r="C2726" t="inlineStr">
        <is>
          <t>samarjeet.k@osmosys.co</t>
        </is>
      </c>
      <c r="D2726" t="inlineStr">
        <is>
          <t>incident-reporter</t>
        </is>
      </c>
      <c r="E2726">
        <f>HYPERLINK("http://gitlab.osmosys.co/incident-reporter/incident-reporter-api", "OQSHA-API")</f>
        <v/>
      </c>
      <c r="F2726">
        <f>HYPERLINK("http://gitlab.osmosys.co/incident-reporter/incident-reporter-api/-/merge_requests/4041", "fix: auto close helper function")</f>
        <v/>
      </c>
      <c r="G2726" t="inlineStr">
        <is>
          <t>fix/ptw_auto_close</t>
        </is>
      </c>
      <c r="H2726" t="inlineStr">
        <is>
          <t>sprint-16_v2</t>
        </is>
      </c>
      <c r="I2726" t="inlineStr">
        <is>
          <t>merged</t>
        </is>
      </c>
      <c r="J2726" t="inlineStr"/>
      <c r="K2726" t="inlineStr"/>
      <c r="L2726" t="inlineStr"/>
      <c r="M2726" t="inlineStr"/>
      <c r="N2726" t="inlineStr"/>
      <c r="O2726" t="inlineStr"/>
      <c r="P2726" t="inlineStr"/>
      <c r="Q2726" t="inlineStr"/>
    </row>
    <row r="2727">
      <c r="A2727" t="inlineStr">
        <is>
          <t>samarjeet.k</t>
        </is>
      </c>
      <c r="B2727" t="inlineStr">
        <is>
          <t>Kumar Samarjeet</t>
        </is>
      </c>
      <c r="C2727" t="inlineStr">
        <is>
          <t>samarjeet.k@osmosys.co</t>
        </is>
      </c>
      <c r="D2727" t="inlineStr">
        <is>
          <t>incident-reporter</t>
        </is>
      </c>
      <c r="E2727">
        <f>HYPERLINK("http://gitlab.osmosys.co/incident-reporter/incident-reporter-api", "OQSHA-API")</f>
        <v/>
      </c>
      <c r="F2727">
        <f>HYPERLINK("http://gitlab.osmosys.co/incident-reporter/incident-reporter-api/-/merge_requests/4038", "fix: ptw details removing issue")</f>
        <v/>
      </c>
      <c r="G2727" t="inlineStr">
        <is>
          <t>cherry-pick-f6af3354</t>
        </is>
      </c>
      <c r="H2727" t="inlineStr">
        <is>
          <t>sprint-16_v2</t>
        </is>
      </c>
      <c r="I2727" t="inlineStr">
        <is>
          <t>merged</t>
        </is>
      </c>
      <c r="J2727" t="inlineStr"/>
      <c r="K2727" t="inlineStr"/>
      <c r="L2727" t="inlineStr"/>
      <c r="M2727" t="inlineStr"/>
      <c r="N2727" t="inlineStr"/>
      <c r="O2727" t="inlineStr"/>
      <c r="P2727" t="inlineStr"/>
      <c r="Q2727" t="inlineStr"/>
    </row>
    <row r="2728">
      <c r="A2728" t="inlineStr">
        <is>
          <t>samarjeet.k</t>
        </is>
      </c>
      <c r="B2728" t="inlineStr">
        <is>
          <t>Kumar Samarjeet</t>
        </is>
      </c>
      <c r="C2728" t="inlineStr">
        <is>
          <t>samarjeet.k@osmosys.co</t>
        </is>
      </c>
      <c r="D2728" t="inlineStr">
        <is>
          <t>incident-reporter</t>
        </is>
      </c>
      <c r="E2728">
        <f>HYPERLINK("http://gitlab.osmosys.co/incident-reporter/incident-reporter-api", "OQSHA-API")</f>
        <v/>
      </c>
      <c r="F2728">
        <f>HYPERLINK("http://gitlab.osmosys.co/incident-reporter/incident-reporter-api/-/merge_requests/4037", "merge: sprint 17 to sprint 16 v2")</f>
        <v/>
      </c>
      <c r="G2728" t="inlineStr">
        <is>
          <t>merge/sprint-17_to_16_v2</t>
        </is>
      </c>
      <c r="H2728" t="inlineStr">
        <is>
          <t>sprint-16_v2</t>
        </is>
      </c>
      <c r="I2728" t="inlineStr">
        <is>
          <t>closed</t>
        </is>
      </c>
      <c r="J2728" t="inlineStr">
        <is>
          <t>99f3948896ba9192ecd79af1e80742c4d292126f</t>
        </is>
      </c>
      <c r="K2728">
        <f>HYPERLINK("http://gitlab.osmosys.co/incident-reporter/incident-reporter-api/-/merge_requests/4037#note_231702", "Closing this PR, as we have sprint-17 migrations.")</f>
        <v/>
      </c>
      <c r="L2728" t="inlineStr">
        <is>
          <t>2025-07-03 17:13:42.193 IST</t>
        </is>
      </c>
      <c r="M2728" t="inlineStr">
        <is>
          <t>Sindhusha</t>
        </is>
      </c>
      <c r="N2728" t="inlineStr">
        <is>
          <t>Yes</t>
        </is>
      </c>
      <c r="O2728" t="inlineStr">
        <is>
          <t>No</t>
        </is>
      </c>
      <c r="P2728" t="inlineStr"/>
      <c r="Q2728" t="inlineStr">
        <is>
          <t>Bad</t>
        </is>
      </c>
    </row>
    <row r="2729">
      <c r="A2729" t="inlineStr">
        <is>
          <t>samarjeet.k</t>
        </is>
      </c>
      <c r="B2729" t="inlineStr">
        <is>
          <t>Kumar Samarjeet</t>
        </is>
      </c>
      <c r="C2729" t="inlineStr">
        <is>
          <t>samarjeet.k@osmosys.co</t>
        </is>
      </c>
      <c r="D2729" t="inlineStr">
        <is>
          <t>incident-reporter</t>
        </is>
      </c>
      <c r="E2729">
        <f>HYPERLINK("http://gitlab.osmosys.co/incident-reporter/incident-reporter-api", "OQSHA-API")</f>
        <v/>
      </c>
      <c r="F2729">
        <f>HYPERLINK("http://gitlab.osmosys.co/incident-reporter/incident-reporter-api/-/merge_requests/4033", "fix: ptw details removing issue")</f>
        <v/>
      </c>
      <c r="G2729" t="inlineStr">
        <is>
          <t>fix/ptw_details_removing_issue</t>
        </is>
      </c>
      <c r="H2729" t="inlineStr">
        <is>
          <t>sprint-17</t>
        </is>
      </c>
      <c r="I2729" t="inlineStr">
        <is>
          <t>merged</t>
        </is>
      </c>
      <c r="J2729" t="inlineStr"/>
      <c r="K2729" t="inlineStr"/>
      <c r="L2729" t="inlineStr"/>
      <c r="M2729" t="inlineStr"/>
      <c r="N2729" t="inlineStr"/>
      <c r="O2729" t="inlineStr"/>
      <c r="P2729" t="inlineStr"/>
      <c r="Q2729" t="inlineStr"/>
    </row>
    <row r="2730">
      <c r="A2730" t="inlineStr">
        <is>
          <t>samarjeet.k</t>
        </is>
      </c>
      <c r="B2730" t="inlineStr">
        <is>
          <t>Kumar Samarjeet</t>
        </is>
      </c>
      <c r="C2730" t="inlineStr">
        <is>
          <t>samarjeet.k@osmosys.co</t>
        </is>
      </c>
      <c r="D2730" t="inlineStr">
        <is>
          <t>incident-reporter</t>
        </is>
      </c>
      <c r="E2730">
        <f>HYPERLINK("http://gitlab.osmosys.co/incident-reporter/incident-reporter-api", "OQSHA-API")</f>
        <v/>
      </c>
      <c r="F2730">
        <f>HYPERLINK("http://gitlab.osmosys.co/incident-reporter/incident-reporter-api/-/merge_requests/4024", "feat: map portal module with app module")</f>
        <v/>
      </c>
      <c r="G2730" t="inlineStr">
        <is>
          <t>feat/map_portal_module_with_app_module</t>
        </is>
      </c>
      <c r="H2730" t="inlineStr">
        <is>
          <t>sprint-17</t>
        </is>
      </c>
      <c r="I2730" t="inlineStr">
        <is>
          <t>merged</t>
        </is>
      </c>
      <c r="J2730" t="inlineStr">
        <is>
          <t>2ddc944e94c4b7596a98a5ae19534371595351ad</t>
        </is>
      </c>
      <c r="K2730">
        <f>HYPERLINK("http://gitlab.osmosys.co/incident-reporter/incident-reporter-api/-/merge_requests/4024#note_231659", "Update table name as acm_app_modules_lookup which is already mentioned in the task")</f>
        <v/>
      </c>
      <c r="L2730" t="inlineStr">
        <is>
          <t>2025-07-03 16:12:36.836 IST</t>
        </is>
      </c>
      <c r="M2730" t="inlineStr">
        <is>
          <t>Sindhusha</t>
        </is>
      </c>
      <c r="N2730" t="inlineStr">
        <is>
          <t>Yes</t>
        </is>
      </c>
      <c r="O2730" t="inlineStr">
        <is>
          <t>Yes</t>
        </is>
      </c>
      <c r="P2730" t="inlineStr">
        <is>
          <t>Sindhusha</t>
        </is>
      </c>
      <c r="Q2730" t="inlineStr">
        <is>
          <t>Bad</t>
        </is>
      </c>
    </row>
    <row r="2731">
      <c r="A2731" t="inlineStr">
        <is>
          <t>samarjeet.k</t>
        </is>
      </c>
      <c r="B2731" t="inlineStr">
        <is>
          <t>Kumar Samarjeet</t>
        </is>
      </c>
      <c r="C2731" t="inlineStr">
        <is>
          <t>samarjeet.k@osmosys.co</t>
        </is>
      </c>
      <c r="D2731" t="inlineStr">
        <is>
          <t>incident-reporter</t>
        </is>
      </c>
      <c r="E2731">
        <f>HYPERLINK("http://gitlab.osmosys.co/incident-reporter/incident-reporter-api", "OQSHA-API")</f>
        <v/>
      </c>
      <c r="F2731">
        <f>HYPERLINK("http://gitlab.osmosys.co/incident-reporter/incident-reporter-api/-/merge_requests/4024", "feat: map portal module with app module")</f>
        <v/>
      </c>
      <c r="G2731" t="inlineStr">
        <is>
          <t>feat/map_portal_module_with_app_module</t>
        </is>
      </c>
      <c r="H2731" t="inlineStr">
        <is>
          <t>sprint-17</t>
        </is>
      </c>
      <c r="I2731" t="inlineStr">
        <is>
          <t>merged</t>
        </is>
      </c>
      <c r="J2731" t="inlineStr">
        <is>
          <t>2ddc944e94c4b7596a98a5ae19534371595351ad</t>
        </is>
      </c>
      <c r="K2731">
        <f>HYPERLINK("http://gitlab.osmosys.co/incident-reporter/incident-reporter-api/-/merge_requests/4024#note_231690", "Changed")</f>
        <v/>
      </c>
      <c r="L2731" t="inlineStr">
        <is>
          <t>2025-07-03 16:59:45.224 IST</t>
        </is>
      </c>
      <c r="M2731" t="inlineStr">
        <is>
          <t>Kumar Samarjeet</t>
        </is>
      </c>
      <c r="N2731" t="inlineStr">
        <is>
          <t>No</t>
        </is>
      </c>
      <c r="O2731" t="inlineStr">
        <is>
          <t>Yes</t>
        </is>
      </c>
      <c r="P2731" t="inlineStr">
        <is>
          <t>Sindhusha</t>
        </is>
      </c>
      <c r="Q2731" t="inlineStr">
        <is>
          <t>Bad</t>
        </is>
      </c>
    </row>
    <row r="2732">
      <c r="A2732" t="inlineStr">
        <is>
          <t>samarjeet.k</t>
        </is>
      </c>
      <c r="B2732" t="inlineStr">
        <is>
          <t>Kumar Samarjeet</t>
        </is>
      </c>
      <c r="C2732" t="inlineStr">
        <is>
          <t>samarjeet.k@osmosys.co</t>
        </is>
      </c>
      <c r="D2732" t="inlineStr">
        <is>
          <t>incident-reporter</t>
        </is>
      </c>
      <c r="E2732">
        <f>HYPERLINK("http://gitlab.osmosys.co/incident-reporter/incident-reporter-api", "OQSHA-API")</f>
        <v/>
      </c>
      <c r="F2732">
        <f>HYPERLINK("http://gitlab.osmosys.co/incident-reporter/incident-reporter-api/-/merge_requests/4024", "feat: map portal module with app module")</f>
        <v/>
      </c>
      <c r="G2732" t="inlineStr">
        <is>
          <t>feat/map_portal_module_with_app_module</t>
        </is>
      </c>
      <c r="H2732" t="inlineStr">
        <is>
          <t>sprint-17</t>
        </is>
      </c>
      <c r="I2732" t="inlineStr">
        <is>
          <t>merged</t>
        </is>
      </c>
      <c r="J2732" t="inlineStr">
        <is>
          <t>29f8227f251c8f4dde1a03584adb8d5edfea3d64</t>
        </is>
      </c>
      <c r="K2732">
        <f>HYPERLINK("http://gitlab.osmosys.co/incident-reporter/incident-reporter-api/-/merge_requests/4024#note_231660", "update columns to have acm_portal_module_id, acm_app_module_id")</f>
        <v/>
      </c>
      <c r="L2732" t="inlineStr">
        <is>
          <t>2025-07-03 16:12:49.248 IST</t>
        </is>
      </c>
      <c r="M2732" t="inlineStr">
        <is>
          <t>Sindhusha</t>
        </is>
      </c>
      <c r="N2732" t="inlineStr">
        <is>
          <t>Yes</t>
        </is>
      </c>
      <c r="O2732" t="inlineStr">
        <is>
          <t>Yes</t>
        </is>
      </c>
      <c r="P2732" t="inlineStr">
        <is>
          <t>Sindhusha</t>
        </is>
      </c>
      <c r="Q2732" t="inlineStr">
        <is>
          <t>Bad</t>
        </is>
      </c>
    </row>
    <row r="2733">
      <c r="A2733" t="inlineStr">
        <is>
          <t>samarjeet.k</t>
        </is>
      </c>
      <c r="B2733" t="inlineStr">
        <is>
          <t>Kumar Samarjeet</t>
        </is>
      </c>
      <c r="C2733" t="inlineStr">
        <is>
          <t>samarjeet.k@osmosys.co</t>
        </is>
      </c>
      <c r="D2733" t="inlineStr">
        <is>
          <t>incident-reporter</t>
        </is>
      </c>
      <c r="E2733">
        <f>HYPERLINK("http://gitlab.osmosys.co/incident-reporter/incident-reporter-api", "OQSHA-API")</f>
        <v/>
      </c>
      <c r="F2733">
        <f>HYPERLINK("http://gitlab.osmosys.co/incident-reporter/incident-reporter-api/-/merge_requests/4024", "feat: map portal module with app module")</f>
        <v/>
      </c>
      <c r="G2733" t="inlineStr">
        <is>
          <t>feat/map_portal_module_with_app_module</t>
        </is>
      </c>
      <c r="H2733" t="inlineStr">
        <is>
          <t>sprint-17</t>
        </is>
      </c>
      <c r="I2733" t="inlineStr">
        <is>
          <t>merged</t>
        </is>
      </c>
      <c r="J2733" t="inlineStr">
        <is>
          <t>29f8227f251c8f4dde1a03584adb8d5edfea3d64</t>
        </is>
      </c>
      <c r="K2733">
        <f>HYPERLINK("http://gitlab.osmosys.co/incident-reporter/incident-reporter-api/-/merge_requests/4024#note_231696", "CHnaged")</f>
        <v/>
      </c>
      <c r="L2733" t="inlineStr">
        <is>
          <t>2025-07-03 17:01:12.065 IST</t>
        </is>
      </c>
      <c r="M2733" t="inlineStr">
        <is>
          <t>Kumar Samarjeet</t>
        </is>
      </c>
      <c r="N2733" t="inlineStr">
        <is>
          <t>No</t>
        </is>
      </c>
      <c r="O2733" t="inlineStr">
        <is>
          <t>Yes</t>
        </is>
      </c>
      <c r="P2733" t="inlineStr">
        <is>
          <t>Sindhusha</t>
        </is>
      </c>
      <c r="Q2733" t="inlineStr">
        <is>
          <t>Bad</t>
        </is>
      </c>
    </row>
    <row r="2734">
      <c r="A2734" t="inlineStr">
        <is>
          <t>samarjeet.k</t>
        </is>
      </c>
      <c r="B2734" t="inlineStr">
        <is>
          <t>Kumar Samarjeet</t>
        </is>
      </c>
      <c r="C2734" t="inlineStr">
        <is>
          <t>samarjeet.k@osmosys.co</t>
        </is>
      </c>
      <c r="D2734" t="inlineStr">
        <is>
          <t>incident-reporter</t>
        </is>
      </c>
      <c r="E2734">
        <f>HYPERLINK("http://gitlab.osmosys.co/incident-reporter/incident-reporter-api", "OQSHA-API")</f>
        <v/>
      </c>
      <c r="F2734">
        <f>HYPERLINK("http://gitlab.osmosys.co/incident-reporter/incident-reporter-api/-/merge_requests/4024", "feat: map portal module with app module")</f>
        <v/>
      </c>
      <c r="G2734" t="inlineStr">
        <is>
          <t>feat/map_portal_module_with_app_module</t>
        </is>
      </c>
      <c r="H2734" t="inlineStr">
        <is>
          <t>sprint-17</t>
        </is>
      </c>
      <c r="I2734" t="inlineStr">
        <is>
          <t>merged</t>
        </is>
      </c>
      <c r="J2734" t="inlineStr">
        <is>
          <t>c69aa5df19e2ad8598b56caff2113f87a9281685</t>
        </is>
      </c>
      <c r="K2734">
        <f>HYPERLINK("http://gitlab.osmosys.co/incident-reporter/incident-reporter-api/-/merge_requests/4024#note_231661", "Is this intentional change to be pushed?")</f>
        <v/>
      </c>
      <c r="L2734" t="inlineStr">
        <is>
          <t>2025-07-03 16:13:55.763 IST</t>
        </is>
      </c>
      <c r="M2734" t="inlineStr">
        <is>
          <t>Sindhusha</t>
        </is>
      </c>
      <c r="N2734" t="inlineStr">
        <is>
          <t>Yes</t>
        </is>
      </c>
      <c r="O2734" t="inlineStr">
        <is>
          <t>Yes</t>
        </is>
      </c>
      <c r="P2734" t="inlineStr">
        <is>
          <t>Sindhusha</t>
        </is>
      </c>
      <c r="Q2734" t="inlineStr">
        <is>
          <t>Bad</t>
        </is>
      </c>
    </row>
    <row r="2735">
      <c r="A2735" t="inlineStr">
        <is>
          <t>samarjeet.k</t>
        </is>
      </c>
      <c r="B2735" t="inlineStr">
        <is>
          <t>Kumar Samarjeet</t>
        </is>
      </c>
      <c r="C2735" t="inlineStr">
        <is>
          <t>samarjeet.k@osmosys.co</t>
        </is>
      </c>
      <c r="D2735" t="inlineStr">
        <is>
          <t>incident-reporter</t>
        </is>
      </c>
      <c r="E2735">
        <f>HYPERLINK("http://gitlab.osmosys.co/incident-reporter/incident-reporter-api", "OQSHA-API")</f>
        <v/>
      </c>
      <c r="F2735">
        <f>HYPERLINK("http://gitlab.osmosys.co/incident-reporter/incident-reporter-api/-/merge_requests/4024", "feat: map portal module with app module")</f>
        <v/>
      </c>
      <c r="G2735" t="inlineStr">
        <is>
          <t>feat/map_portal_module_with_app_module</t>
        </is>
      </c>
      <c r="H2735" t="inlineStr">
        <is>
          <t>sprint-17</t>
        </is>
      </c>
      <c r="I2735" t="inlineStr">
        <is>
          <t>merged</t>
        </is>
      </c>
      <c r="J2735" t="inlineStr">
        <is>
          <t>c69aa5df19e2ad8598b56caff2113f87a9281685</t>
        </is>
      </c>
      <c r="K2735">
        <f>HYPERLINK("http://gitlab.osmosys.co/incident-reporter/incident-reporter-api/-/merge_requests/4024#note_231697", "Reverted")</f>
        <v/>
      </c>
      <c r="L2735" t="inlineStr">
        <is>
          <t>2025-07-03 17:01:20.205 IST</t>
        </is>
      </c>
      <c r="M2735" t="inlineStr">
        <is>
          <t>Kumar Samarjeet</t>
        </is>
      </c>
      <c r="N2735" t="inlineStr">
        <is>
          <t>No</t>
        </is>
      </c>
      <c r="O2735" t="inlineStr">
        <is>
          <t>Yes</t>
        </is>
      </c>
      <c r="P2735" t="inlineStr">
        <is>
          <t>Sindhusha</t>
        </is>
      </c>
      <c r="Q2735" t="inlineStr">
        <is>
          <t>Bad</t>
        </is>
      </c>
    </row>
    <row r="2736">
      <c r="A2736" t="inlineStr">
        <is>
          <t>samarjeet.k</t>
        </is>
      </c>
      <c r="B2736" t="inlineStr">
        <is>
          <t>Kumar Samarjeet</t>
        </is>
      </c>
      <c r="C2736" t="inlineStr">
        <is>
          <t>samarjeet.k@osmosys.co</t>
        </is>
      </c>
      <c r="D2736" t="inlineStr">
        <is>
          <t>incident-reporter</t>
        </is>
      </c>
      <c r="E2736">
        <f>HYPERLINK("http://gitlab.osmosys.co/incident-reporter/incident-reporter-api", "OQSHA-API")</f>
        <v/>
      </c>
      <c r="F2736">
        <f>HYPERLINK("http://gitlab.osmosys.co/incident-reporter/incident-reporter-api/-/merge_requests/4024", "feat: map portal module with app module")</f>
        <v/>
      </c>
      <c r="G2736" t="inlineStr">
        <is>
          <t>feat/map_portal_module_with_app_module</t>
        </is>
      </c>
      <c r="H2736" t="inlineStr">
        <is>
          <t>sprint-17</t>
        </is>
      </c>
      <c r="I2736" t="inlineStr">
        <is>
          <t>merged</t>
        </is>
      </c>
      <c r="J2736" t="inlineStr">
        <is>
          <t>8550dd229612a4e9482205075e0428cf7e509513</t>
        </is>
      </c>
      <c r="K2736">
        <f>HYPERLINK("http://gitlab.osmosys.co/incident-reporter/incident-reporter-api/-/merge_requests/4024#note_233273", "Why is this table name incorrect?")</f>
        <v/>
      </c>
      <c r="L2736" t="inlineStr">
        <is>
          <t>2025-07-08 19:25:17.231 IST</t>
        </is>
      </c>
      <c r="M2736" t="inlineStr">
        <is>
          <t>Sindhusha</t>
        </is>
      </c>
      <c r="N2736" t="inlineStr">
        <is>
          <t>Yes</t>
        </is>
      </c>
      <c r="O2736" t="inlineStr">
        <is>
          <t>Yes</t>
        </is>
      </c>
      <c r="P2736" t="inlineStr">
        <is>
          <t>Sindhusha</t>
        </is>
      </c>
      <c r="Q2736" t="inlineStr">
        <is>
          <t>Bad</t>
        </is>
      </c>
    </row>
    <row r="2737">
      <c r="A2737" t="inlineStr">
        <is>
          <t>samarjeet.k</t>
        </is>
      </c>
      <c r="B2737" t="inlineStr">
        <is>
          <t>Kumar Samarjeet</t>
        </is>
      </c>
      <c r="C2737" t="inlineStr">
        <is>
          <t>samarjeet.k@osmosys.co</t>
        </is>
      </c>
      <c r="D2737" t="inlineStr">
        <is>
          <t>incident-reporter</t>
        </is>
      </c>
      <c r="E2737">
        <f>HYPERLINK("http://gitlab.osmosys.co/incident-reporter/incident-reporter-api", "OQSHA-API")</f>
        <v/>
      </c>
      <c r="F2737">
        <f>HYPERLINK("http://gitlab.osmosys.co/incident-reporter/incident-reporter-api/-/merge_requests/4024", "feat: map portal module with app module")</f>
        <v/>
      </c>
      <c r="G2737" t="inlineStr">
        <is>
          <t>feat/map_portal_module_with_app_module</t>
        </is>
      </c>
      <c r="H2737" t="inlineStr">
        <is>
          <t>sprint-17</t>
        </is>
      </c>
      <c r="I2737" t="inlineStr">
        <is>
          <t>merged</t>
        </is>
      </c>
      <c r="J2737" t="inlineStr">
        <is>
          <t>8550dd229612a4e9482205075e0428cf7e509513</t>
        </is>
      </c>
      <c r="K2737">
        <f>HYPERLINK("http://gitlab.osmosys.co/incident-reporter/incident-reporter-api/-/merge_requests/4024#note_234320", "Resolved")</f>
        <v/>
      </c>
      <c r="L2737" t="inlineStr">
        <is>
          <t>2025-07-10 18:23:52.977 IST</t>
        </is>
      </c>
      <c r="M2737" t="inlineStr">
        <is>
          <t>Kumar Samarjeet</t>
        </is>
      </c>
      <c r="N2737" t="inlineStr">
        <is>
          <t>No</t>
        </is>
      </c>
      <c r="O2737" t="inlineStr">
        <is>
          <t>Yes</t>
        </is>
      </c>
      <c r="P2737" t="inlineStr">
        <is>
          <t>Sindhusha</t>
        </is>
      </c>
      <c r="Q2737" t="inlineStr">
        <is>
          <t>Bad</t>
        </is>
      </c>
    </row>
    <row r="2738">
      <c r="A2738" t="inlineStr">
        <is>
          <t>samarjeet.k</t>
        </is>
      </c>
      <c r="B2738" t="inlineStr">
        <is>
          <t>Kumar Samarjeet</t>
        </is>
      </c>
      <c r="C2738" t="inlineStr">
        <is>
          <t>samarjeet.k@osmosys.co</t>
        </is>
      </c>
      <c r="D2738" t="inlineStr">
        <is>
          <t>incident-reporter</t>
        </is>
      </c>
      <c r="E2738">
        <f>HYPERLINK("http://gitlab.osmosys.co/incident-reporter/incident-reporter-api", "OQSHA-API")</f>
        <v/>
      </c>
      <c r="F2738">
        <f>HYPERLINK("http://gitlab.osmosys.co/incident-reporter/incident-reporter-api/-/merge_requests/4024", "feat: map portal module with app module")</f>
        <v/>
      </c>
      <c r="G2738" t="inlineStr">
        <is>
          <t>feat/map_portal_module_with_app_module</t>
        </is>
      </c>
      <c r="H2738" t="inlineStr">
        <is>
          <t>sprint-17</t>
        </is>
      </c>
      <c r="I2738" t="inlineStr">
        <is>
          <t>merged</t>
        </is>
      </c>
      <c r="J2738" t="inlineStr">
        <is>
          <t>682a73d08de8e40845352ccdca23d38763df6c97</t>
        </is>
      </c>
      <c r="K2738">
        <f>HYPERLINK("http://gitlab.osmosys.co/incident-reporter/incident-reporter-api/-/merge_requests/4024#note_233274", "Both acm_portal_module_id, acm_app_module_id are module ids from this table, add FKs accordingly.")</f>
        <v/>
      </c>
      <c r="L2738" t="inlineStr">
        <is>
          <t>2025-07-08 19:25:59.793 IST</t>
        </is>
      </c>
      <c r="M2738" t="inlineStr">
        <is>
          <t>Sindhusha</t>
        </is>
      </c>
      <c r="N2738" t="inlineStr">
        <is>
          <t>Yes</t>
        </is>
      </c>
      <c r="O2738" t="inlineStr">
        <is>
          <t>Yes</t>
        </is>
      </c>
      <c r="P2738" t="inlineStr">
        <is>
          <t>Sindhusha</t>
        </is>
      </c>
      <c r="Q2738" t="inlineStr">
        <is>
          <t>Bad</t>
        </is>
      </c>
    </row>
    <row r="2739">
      <c r="A2739" t="inlineStr">
        <is>
          <t>samarjeet.k</t>
        </is>
      </c>
      <c r="B2739" t="inlineStr">
        <is>
          <t>Kumar Samarjeet</t>
        </is>
      </c>
      <c r="C2739" t="inlineStr">
        <is>
          <t>samarjeet.k@osmosys.co</t>
        </is>
      </c>
      <c r="D2739" t="inlineStr">
        <is>
          <t>incident-reporter</t>
        </is>
      </c>
      <c r="E2739">
        <f>HYPERLINK("http://gitlab.osmosys.co/incident-reporter/incident-reporter-api", "OQSHA-API")</f>
        <v/>
      </c>
      <c r="F2739">
        <f>HYPERLINK("http://gitlab.osmosys.co/incident-reporter/incident-reporter-api/-/merge_requests/4024", "feat: map portal module with app module")</f>
        <v/>
      </c>
      <c r="G2739" t="inlineStr">
        <is>
          <t>feat/map_portal_module_with_app_module</t>
        </is>
      </c>
      <c r="H2739" t="inlineStr">
        <is>
          <t>sprint-17</t>
        </is>
      </c>
      <c r="I2739" t="inlineStr">
        <is>
          <t>merged</t>
        </is>
      </c>
      <c r="J2739" t="inlineStr">
        <is>
          <t>682a73d08de8e40845352ccdca23d38763df6c97</t>
        </is>
      </c>
      <c r="K2739">
        <f>HYPERLINK("http://gitlab.osmosys.co/incident-reporter/incident-reporter-api/-/merge_requests/4024#note_234319", "We don't store app module id in organisation module's table, We store that in acm_modules table and to that table I can't add a foreign key")</f>
        <v/>
      </c>
      <c r="L2739" t="inlineStr">
        <is>
          <t>2025-07-10 18:23:45.245 IST</t>
        </is>
      </c>
      <c r="M2739" t="inlineStr">
        <is>
          <t>Kumar Samarjeet</t>
        </is>
      </c>
      <c r="N2739" t="inlineStr">
        <is>
          <t>No</t>
        </is>
      </c>
      <c r="O2739" t="inlineStr">
        <is>
          <t>Yes</t>
        </is>
      </c>
      <c r="P2739" t="inlineStr">
        <is>
          <t>Sindhusha</t>
        </is>
      </c>
      <c r="Q2739" t="inlineStr">
        <is>
          <t>Bad</t>
        </is>
      </c>
    </row>
    <row r="2740">
      <c r="A2740" t="inlineStr">
        <is>
          <t>samarjeet.k</t>
        </is>
      </c>
      <c r="B2740" t="inlineStr">
        <is>
          <t>Kumar Samarjeet</t>
        </is>
      </c>
      <c r="C2740" t="inlineStr">
        <is>
          <t>samarjeet.k@osmosys.co</t>
        </is>
      </c>
      <c r="D2740" t="inlineStr">
        <is>
          <t>incident-reporter</t>
        </is>
      </c>
      <c r="E2740">
        <f>HYPERLINK("http://gitlab.osmosys.co/incident-reporter/incident-reporter-api", "OQSHA-API")</f>
        <v/>
      </c>
      <c r="F2740">
        <f>HYPERLINK("http://gitlab.osmosys.co/incident-reporter/incident-reporter-api/-/merge_requests/4024", "feat: map portal module with app module")</f>
        <v/>
      </c>
      <c r="G2740" t="inlineStr">
        <is>
          <t>feat/map_portal_module_with_app_module</t>
        </is>
      </c>
      <c r="H2740" t="inlineStr">
        <is>
          <t>sprint-17</t>
        </is>
      </c>
      <c r="I2740" t="inlineStr">
        <is>
          <t>merged</t>
        </is>
      </c>
      <c r="J2740" t="inlineStr">
        <is>
          <t>682a73d08de8e40845352ccdca23d38763df6c97</t>
        </is>
      </c>
      <c r="K2740">
        <f>HYPERLINK("http://gitlab.osmosys.co/incident-reporter/incident-reporter-api/-/merge_requests/4024#note_234358", "Resolved")</f>
        <v/>
      </c>
      <c r="L2740" t="inlineStr">
        <is>
          <t>2025-07-10 18:37:38.008 IST</t>
        </is>
      </c>
      <c r="M2740" t="inlineStr">
        <is>
          <t>Kumar Samarjeet</t>
        </is>
      </c>
      <c r="N2740" t="inlineStr">
        <is>
          <t>No</t>
        </is>
      </c>
      <c r="O2740" t="inlineStr">
        <is>
          <t>Yes</t>
        </is>
      </c>
      <c r="P2740" t="inlineStr">
        <is>
          <t>Sindhusha</t>
        </is>
      </c>
      <c r="Q2740" t="inlineStr">
        <is>
          <t>Bad</t>
        </is>
      </c>
    </row>
    <row r="2741">
      <c r="A2741" t="inlineStr">
        <is>
          <t>samarjeet.k</t>
        </is>
      </c>
      <c r="B2741" t="inlineStr">
        <is>
          <t>Kumar Samarjeet</t>
        </is>
      </c>
      <c r="C2741" t="inlineStr">
        <is>
          <t>samarjeet.k@osmosys.co</t>
        </is>
      </c>
      <c r="D2741" t="inlineStr">
        <is>
          <t>incident-reporter</t>
        </is>
      </c>
      <c r="E2741">
        <f>HYPERLINK("http://gitlab.osmosys.co/incident-reporter/incident-reporter-api", "OQSHA-API")</f>
        <v/>
      </c>
      <c r="F2741">
        <f>HYPERLINK("http://gitlab.osmosys.co/incident-reporter/incident-reporter-api/-/merge_requests/4024", "feat: map portal module with app module")</f>
        <v/>
      </c>
      <c r="G2741" t="inlineStr">
        <is>
          <t>feat/map_portal_module_with_app_module</t>
        </is>
      </c>
      <c r="H2741" t="inlineStr">
        <is>
          <t>sprint-17</t>
        </is>
      </c>
      <c r="I2741" t="inlineStr">
        <is>
          <t>merged</t>
        </is>
      </c>
      <c r="J2741" t="inlineStr">
        <is>
          <t>3aef816d70223b4d71428158bc15f7154321c8a3</t>
        </is>
      </c>
      <c r="K2741">
        <f>HYPERLINK("http://gitlab.osmosys.co/incident-reporter/incident-reporter-api/-/merge_requests/4024#note_233275", "@samarjeet.k  - attach screenshot of the fluent migration to show it successfully ran")</f>
        <v/>
      </c>
      <c r="L2741" t="inlineStr">
        <is>
          <t>2025-07-08 19:26:47.234 IST</t>
        </is>
      </c>
      <c r="M2741" t="inlineStr">
        <is>
          <t>Sindhusha</t>
        </is>
      </c>
      <c r="N2741" t="inlineStr">
        <is>
          <t>Yes</t>
        </is>
      </c>
      <c r="O2741" t="inlineStr">
        <is>
          <t>No</t>
        </is>
      </c>
      <c r="P2741" t="inlineStr"/>
      <c r="Q2741" t="inlineStr">
        <is>
          <t>Neutral</t>
        </is>
      </c>
    </row>
    <row r="2742">
      <c r="A2742" t="inlineStr">
        <is>
          <t>samarjeet.k</t>
        </is>
      </c>
      <c r="B2742" t="inlineStr">
        <is>
          <t>Kumar Samarjeet</t>
        </is>
      </c>
      <c r="C2742" t="inlineStr">
        <is>
          <t>samarjeet.k@osmosys.co</t>
        </is>
      </c>
      <c r="D2742" t="inlineStr">
        <is>
          <t>incident-reporter</t>
        </is>
      </c>
      <c r="E2742">
        <f>HYPERLINK("http://gitlab.osmosys.co/incident-reporter/incident-reporter-api", "OQSHA-API")</f>
        <v/>
      </c>
      <c r="F2742">
        <f>HYPERLINK("http://gitlab.osmosys.co/incident-reporter/incident-reporter-api/-/merge_requests/4023", "fix: allow attachment comments for audit log in ptw")</f>
        <v/>
      </c>
      <c r="G2742" t="inlineStr">
        <is>
          <t>fix/allow_attachment_comments</t>
        </is>
      </c>
      <c r="H2742" t="inlineStr">
        <is>
          <t>sprint-17</t>
        </is>
      </c>
      <c r="I2742" t="inlineStr">
        <is>
          <t>merged</t>
        </is>
      </c>
      <c r="J2742" t="inlineStr"/>
      <c r="K2742" t="inlineStr"/>
      <c r="L2742" t="inlineStr"/>
      <c r="M2742" t="inlineStr"/>
      <c r="N2742" t="inlineStr"/>
      <c r="O2742" t="inlineStr"/>
      <c r="P2742" t="inlineStr"/>
      <c r="Q2742" t="inlineStr"/>
    </row>
    <row r="2743">
      <c r="A2743" t="inlineStr">
        <is>
          <t>samarjeet.k</t>
        </is>
      </c>
      <c r="B2743" t="inlineStr">
        <is>
          <t>Kumar Samarjeet</t>
        </is>
      </c>
      <c r="C2743" t="inlineStr">
        <is>
          <t>samarjeet.k@osmosys.co</t>
        </is>
      </c>
      <c r="D2743" t="inlineStr">
        <is>
          <t>incident-reporter</t>
        </is>
      </c>
      <c r="E2743">
        <f>HYPERLINK("http://gitlab.osmosys.co/incident-reporter/incident-reporter-api", "OQSHA-API")</f>
        <v/>
      </c>
      <c r="F2743">
        <f>HYPERLINK("http://gitlab.osmosys.co/incident-reporter/incident-reporter-api/-/merge_requests/4017", "fix: permit to work history")</f>
        <v/>
      </c>
      <c r="G2743" t="inlineStr">
        <is>
          <t>fix/permit_to_work_history</t>
        </is>
      </c>
      <c r="H2743" t="inlineStr">
        <is>
          <t>sprint-17</t>
        </is>
      </c>
      <c r="I2743" t="inlineStr">
        <is>
          <t>merged</t>
        </is>
      </c>
      <c r="J2743" t="inlineStr"/>
      <c r="K2743" t="inlineStr"/>
      <c r="L2743" t="inlineStr"/>
      <c r="M2743" t="inlineStr"/>
      <c r="N2743" t="inlineStr"/>
      <c r="O2743" t="inlineStr"/>
      <c r="P2743" t="inlineStr"/>
      <c r="Q2743" t="inlineStr"/>
    </row>
    <row r="2744">
      <c r="A2744" t="inlineStr">
        <is>
          <t>IAM5K</t>
        </is>
      </c>
      <c r="B2744" t="inlineStr">
        <is>
          <t>Sandeep Kumar</t>
        </is>
      </c>
      <c r="C2744" t="inlineStr">
        <is>
          <t>sandeep.k@osmosys.co</t>
        </is>
      </c>
      <c r="D2744" t="inlineStr">
        <is>
          <t>talking-buddy</t>
        </is>
      </c>
      <c r="E2744">
        <f>HYPERLINK("http://gitlab.osmosys.co/talking-buddy/portal", "portal")</f>
        <v/>
      </c>
      <c r="F2744">
        <f>HYPERLINK("http://gitlab.osmosys.co/talking-buddy/portal/-/merge_requests/90", "feat: create generic support detail page")</f>
        <v/>
      </c>
      <c r="G2744" t="inlineStr">
        <is>
          <t>TKBT-534</t>
        </is>
      </c>
      <c r="H2744" t="inlineStr">
        <is>
          <t>main</t>
        </is>
      </c>
      <c r="I2744" t="inlineStr">
        <is>
          <t>opened</t>
        </is>
      </c>
      <c r="J2744" t="inlineStr">
        <is>
          <t>cb34c9ac9aa9da9af7a61453fff10fdc4e3e6aa6</t>
        </is>
      </c>
      <c r="K2744">
        <f>HYPERLINK("http://gitlab.osmosys.co/talking-buddy/portal/-/merge_requests/90#note_244548", "PR title should be - feat: create generic support detail page")</f>
        <v/>
      </c>
      <c r="L2744" t="inlineStr">
        <is>
          <t>2025-07-30 23:51:37.407 IST</t>
        </is>
      </c>
      <c r="M2744" t="inlineStr">
        <is>
          <t>Soundariya B</t>
        </is>
      </c>
      <c r="N2744" t="inlineStr">
        <is>
          <t>Yes</t>
        </is>
      </c>
      <c r="O2744" t="inlineStr">
        <is>
          <t>Yes</t>
        </is>
      </c>
      <c r="P2744" t="inlineStr">
        <is>
          <t>Sandeep Kumar</t>
        </is>
      </c>
      <c r="Q2744" t="inlineStr">
        <is>
          <t>Bad</t>
        </is>
      </c>
    </row>
    <row r="2745">
      <c r="A2745" t="inlineStr">
        <is>
          <t>IAM5K</t>
        </is>
      </c>
      <c r="B2745" t="inlineStr">
        <is>
          <t>Sandeep Kumar</t>
        </is>
      </c>
      <c r="C2745" t="inlineStr">
        <is>
          <t>sandeep.k@osmosys.co</t>
        </is>
      </c>
      <c r="D2745" t="inlineStr">
        <is>
          <t>talking-buddy</t>
        </is>
      </c>
      <c r="E2745">
        <f>HYPERLINK("http://gitlab.osmosys.co/talking-buddy/portal", "portal")</f>
        <v/>
      </c>
      <c r="F2745">
        <f>HYPERLINK("http://gitlab.osmosys.co/talking-buddy/portal/-/merge_requests/90", "feat: create generic support detail page")</f>
        <v/>
      </c>
      <c r="G2745" t="inlineStr">
        <is>
          <t>TKBT-534</t>
        </is>
      </c>
      <c r="H2745" t="inlineStr">
        <is>
          <t>main</t>
        </is>
      </c>
      <c r="I2745" t="inlineStr">
        <is>
          <t>opened</t>
        </is>
      </c>
      <c r="J2745" t="inlineStr">
        <is>
          <t>cb34c9ac9aa9da9af7a61453fff10fdc4e3e6aa6</t>
        </is>
      </c>
      <c r="K2745">
        <f>HYPERLINK("http://gitlab.osmosys.co/talking-buddy/portal/-/merge_requests/90#note_244606", "Updated the PR title")</f>
        <v/>
      </c>
      <c r="L2745" t="inlineStr">
        <is>
          <t>2025-07-31 09:42:59.810 IST</t>
        </is>
      </c>
      <c r="M2745" t="inlineStr">
        <is>
          <t>Sandeep Kumar</t>
        </is>
      </c>
      <c r="N2745" t="inlineStr">
        <is>
          <t>No</t>
        </is>
      </c>
      <c r="O2745" t="inlineStr">
        <is>
          <t>Yes</t>
        </is>
      </c>
      <c r="P2745" t="inlineStr">
        <is>
          <t>Sandeep Kumar</t>
        </is>
      </c>
      <c r="Q2745" t="inlineStr">
        <is>
          <t>Bad</t>
        </is>
      </c>
    </row>
    <row r="2746">
      <c r="A2746" t="inlineStr">
        <is>
          <t>IAM5K</t>
        </is>
      </c>
      <c r="B2746" t="inlineStr">
        <is>
          <t>Sandeep Kumar</t>
        </is>
      </c>
      <c r="C2746" t="inlineStr">
        <is>
          <t>sandeep.k@osmosys.co</t>
        </is>
      </c>
      <c r="D2746" t="inlineStr">
        <is>
          <t>talking-buddy</t>
        </is>
      </c>
      <c r="E2746">
        <f>HYPERLINK("http://gitlab.osmosys.co/talking-buddy/portal", "portal")</f>
        <v/>
      </c>
      <c r="F2746">
        <f>HYPERLINK("http://gitlab.osmosys.co/talking-buddy/portal/-/merge_requests/90", "feat: create generic support detail page")</f>
        <v/>
      </c>
      <c r="G2746" t="inlineStr">
        <is>
          <t>TKBT-534</t>
        </is>
      </c>
      <c r="H2746" t="inlineStr">
        <is>
          <t>main</t>
        </is>
      </c>
      <c r="I2746" t="inlineStr">
        <is>
          <t>opened</t>
        </is>
      </c>
      <c r="J2746" t="inlineStr">
        <is>
          <t>5418d5b611b74af30e7ffc9251d824d5cf67d4ba</t>
        </is>
      </c>
      <c r="K2746">
        <f>HYPERLINK("http://gitlab.osmosys.co/talking-buddy/portal/-/merge_requests/90#note_244549", "Please correct the spelling in description - it is UI/UX not UI/UC")</f>
        <v/>
      </c>
      <c r="L2746" t="inlineStr">
        <is>
          <t>2025-07-30 23:51:37.443 IST</t>
        </is>
      </c>
      <c r="M2746" t="inlineStr">
        <is>
          <t>Soundariya B</t>
        </is>
      </c>
      <c r="N2746" t="inlineStr">
        <is>
          <t>Yes</t>
        </is>
      </c>
      <c r="O2746" t="inlineStr">
        <is>
          <t>Yes</t>
        </is>
      </c>
      <c r="P2746" t="inlineStr">
        <is>
          <t>Sandeep Kumar</t>
        </is>
      </c>
      <c r="Q2746" t="inlineStr">
        <is>
          <t>Bad</t>
        </is>
      </c>
    </row>
    <row r="2747">
      <c r="A2747" t="inlineStr">
        <is>
          <t>IAM5K</t>
        </is>
      </c>
      <c r="B2747" t="inlineStr">
        <is>
          <t>Sandeep Kumar</t>
        </is>
      </c>
      <c r="C2747" t="inlineStr">
        <is>
          <t>sandeep.k@osmosys.co</t>
        </is>
      </c>
      <c r="D2747" t="inlineStr">
        <is>
          <t>talking-buddy</t>
        </is>
      </c>
      <c r="E2747">
        <f>HYPERLINK("http://gitlab.osmosys.co/talking-buddy/portal", "portal")</f>
        <v/>
      </c>
      <c r="F2747">
        <f>HYPERLINK("http://gitlab.osmosys.co/talking-buddy/portal/-/merge_requests/90", "feat: create generic support detail page")</f>
        <v/>
      </c>
      <c r="G2747" t="inlineStr">
        <is>
          <t>TKBT-534</t>
        </is>
      </c>
      <c r="H2747" t="inlineStr">
        <is>
          <t>main</t>
        </is>
      </c>
      <c r="I2747" t="inlineStr">
        <is>
          <t>opened</t>
        </is>
      </c>
      <c r="J2747" t="inlineStr">
        <is>
          <t>5418d5b611b74af30e7ffc9251d824d5cf67d4ba</t>
        </is>
      </c>
      <c r="K2747">
        <f>HYPERLINK("http://gitlab.osmosys.co/talking-buddy/portal/-/merge_requests/90#note_244608", "Corrected")</f>
        <v/>
      </c>
      <c r="L2747" t="inlineStr">
        <is>
          <t>2025-07-31 09:44:11.773 IST</t>
        </is>
      </c>
      <c r="M2747" t="inlineStr">
        <is>
          <t>Sandeep Kumar</t>
        </is>
      </c>
      <c r="N2747" t="inlineStr">
        <is>
          <t>No</t>
        </is>
      </c>
      <c r="O2747" t="inlineStr">
        <is>
          <t>Yes</t>
        </is>
      </c>
      <c r="P2747" t="inlineStr">
        <is>
          <t>Sandeep Kumar</t>
        </is>
      </c>
      <c r="Q2747" t="inlineStr">
        <is>
          <t>Bad</t>
        </is>
      </c>
    </row>
    <row r="2748">
      <c r="A2748" t="inlineStr">
        <is>
          <t>IAM5K</t>
        </is>
      </c>
      <c r="B2748" t="inlineStr">
        <is>
          <t>Sandeep Kumar</t>
        </is>
      </c>
      <c r="C2748" t="inlineStr">
        <is>
          <t>sandeep.k@osmosys.co</t>
        </is>
      </c>
      <c r="D2748" t="inlineStr">
        <is>
          <t>talking-buddy</t>
        </is>
      </c>
      <c r="E2748">
        <f>HYPERLINK("http://gitlab.osmosys.co/talking-buddy/portal", "portal")</f>
        <v/>
      </c>
      <c r="F2748">
        <f>HYPERLINK("http://gitlab.osmosys.co/talking-buddy/portal/-/merge_requests/90", "feat: create generic support detail page")</f>
        <v/>
      </c>
      <c r="G2748" t="inlineStr">
        <is>
          <t>TKBT-534</t>
        </is>
      </c>
      <c r="H2748" t="inlineStr">
        <is>
          <t>main</t>
        </is>
      </c>
      <c r="I2748" t="inlineStr">
        <is>
          <t>opened</t>
        </is>
      </c>
      <c r="J2748" t="inlineStr">
        <is>
          <t>99194c848c2b45bc09b3db07d614334c255f0599</t>
        </is>
      </c>
      <c r="K2748">
        <f>HYPERLINK("http://gitlab.osmosys.co/talking-buddy/portal/-/merge_requests/90#note_244550", "Under document section please add figma link which attached in the task description")</f>
        <v/>
      </c>
      <c r="L2748" t="inlineStr">
        <is>
          <t>2025-07-30 23:51:37.470 IST</t>
        </is>
      </c>
      <c r="M2748" t="inlineStr">
        <is>
          <t>Soundariya B</t>
        </is>
      </c>
      <c r="N2748" t="inlineStr">
        <is>
          <t>Yes</t>
        </is>
      </c>
      <c r="O2748" t="inlineStr">
        <is>
          <t>Yes</t>
        </is>
      </c>
      <c r="P2748" t="inlineStr">
        <is>
          <t>Soundariya B</t>
        </is>
      </c>
      <c r="Q2748" t="inlineStr">
        <is>
          <t>Bad</t>
        </is>
      </c>
    </row>
    <row r="2749">
      <c r="A2749" t="inlineStr">
        <is>
          <t>IAM5K</t>
        </is>
      </c>
      <c r="B2749" t="inlineStr">
        <is>
          <t>Sandeep Kumar</t>
        </is>
      </c>
      <c r="C2749" t="inlineStr">
        <is>
          <t>sandeep.k@osmosys.co</t>
        </is>
      </c>
      <c r="D2749" t="inlineStr">
        <is>
          <t>talking-buddy</t>
        </is>
      </c>
      <c r="E2749">
        <f>HYPERLINK("http://gitlab.osmosys.co/talking-buddy/portal", "portal")</f>
        <v/>
      </c>
      <c r="F2749">
        <f>HYPERLINK("http://gitlab.osmosys.co/talking-buddy/portal/-/merge_requests/90", "feat: create generic support detail page")</f>
        <v/>
      </c>
      <c r="G2749" t="inlineStr">
        <is>
          <t>TKBT-534</t>
        </is>
      </c>
      <c r="H2749" t="inlineStr">
        <is>
          <t>main</t>
        </is>
      </c>
      <c r="I2749" t="inlineStr">
        <is>
          <t>opened</t>
        </is>
      </c>
      <c r="J2749" t="inlineStr">
        <is>
          <t>debb78f9a3d87b1fcf96878778fc743f9d4c830a</t>
        </is>
      </c>
      <c r="K2749">
        <f>HYPERLINK("http://gitlab.osmosys.co/talking-buddy/portal/-/merge_requests/90#note_244551", "No test case attached please attach it.")</f>
        <v/>
      </c>
      <c r="L2749" t="inlineStr">
        <is>
          <t>2025-07-30 23:51:37.496 IST</t>
        </is>
      </c>
      <c r="M2749" t="inlineStr">
        <is>
          <t>Soundariya B</t>
        </is>
      </c>
      <c r="N2749" t="inlineStr">
        <is>
          <t>Yes</t>
        </is>
      </c>
      <c r="O2749" t="inlineStr">
        <is>
          <t>No</t>
        </is>
      </c>
      <c r="P2749" t="inlineStr"/>
      <c r="Q2749" t="inlineStr">
        <is>
          <t>Bad</t>
        </is>
      </c>
    </row>
    <row r="2750">
      <c r="A2750" t="inlineStr">
        <is>
          <t>IAM5K</t>
        </is>
      </c>
      <c r="B2750" t="inlineStr">
        <is>
          <t>Sandeep Kumar</t>
        </is>
      </c>
      <c r="C2750" t="inlineStr">
        <is>
          <t>sandeep.k@osmosys.co</t>
        </is>
      </c>
      <c r="D2750" t="inlineStr">
        <is>
          <t>talking-buddy</t>
        </is>
      </c>
      <c r="E2750">
        <f>HYPERLINK("http://gitlab.osmosys.co/talking-buddy/portal", "portal")</f>
        <v/>
      </c>
      <c r="F2750">
        <f>HYPERLINK("http://gitlab.osmosys.co/talking-buddy/portal/-/merge_requests/90", "feat: create generic support detail page")</f>
        <v/>
      </c>
      <c r="G2750" t="inlineStr">
        <is>
          <t>TKBT-534</t>
        </is>
      </c>
      <c r="H2750" t="inlineStr">
        <is>
          <t>main</t>
        </is>
      </c>
      <c r="I2750" t="inlineStr">
        <is>
          <t>opened</t>
        </is>
      </c>
      <c r="J2750" t="inlineStr">
        <is>
          <t>debb78f9a3d87b1fcf96878778fc743f9d4c830a</t>
        </is>
      </c>
      <c r="K2750">
        <f>HYPERLINK("http://gitlab.osmosys.co/talking-buddy/portal/-/merge_requests/90#note_244653", "What would be the expected test cases, please help me with an example. Maybe some other PR which has it. It will help me to add test cases in this scenario.
Thanks")</f>
        <v/>
      </c>
      <c r="L2750" t="inlineStr">
        <is>
          <t>2025-07-31 11:19:50.520 IST</t>
        </is>
      </c>
      <c r="M2750" t="inlineStr">
        <is>
          <t>Sandeep Kumar</t>
        </is>
      </c>
      <c r="N2750" t="inlineStr">
        <is>
          <t>No</t>
        </is>
      </c>
      <c r="O2750" t="inlineStr">
        <is>
          <t>No</t>
        </is>
      </c>
      <c r="P2750" t="inlineStr"/>
      <c r="Q2750" t="inlineStr">
        <is>
          <t>Bad</t>
        </is>
      </c>
    </row>
    <row r="2751">
      <c r="A2751" t="inlineStr">
        <is>
          <t>IAM5K</t>
        </is>
      </c>
      <c r="B2751" t="inlineStr">
        <is>
          <t>Sandeep Kumar</t>
        </is>
      </c>
      <c r="C2751" t="inlineStr">
        <is>
          <t>sandeep.k@osmosys.co</t>
        </is>
      </c>
      <c r="D2751" t="inlineStr">
        <is>
          <t>talking-buddy</t>
        </is>
      </c>
      <c r="E2751">
        <f>HYPERLINK("http://gitlab.osmosys.co/talking-buddy/portal", "portal")</f>
        <v/>
      </c>
      <c r="F2751">
        <f>HYPERLINK("http://gitlab.osmosys.co/talking-buddy/portal/-/merge_requests/90", "feat: create generic support detail page")</f>
        <v/>
      </c>
      <c r="G2751" t="inlineStr">
        <is>
          <t>TKBT-534</t>
        </is>
      </c>
      <c r="H2751" t="inlineStr">
        <is>
          <t>main</t>
        </is>
      </c>
      <c r="I2751" t="inlineStr">
        <is>
          <t>opened</t>
        </is>
      </c>
      <c r="J2751" t="inlineStr">
        <is>
          <t>debb78f9a3d87b1fcf96878778fc743f9d4c830a</t>
        </is>
      </c>
      <c r="K2751">
        <f>HYPERLINK("http://gitlab.osmosys.co/talking-buddy/portal/-/merge_requests/90#note_244915", "You can use oqsha project test case files which you will get in any PR
You need to add the functionality and feature which you worked on it.
Add the testcase what are all client or QA expect to check and test it")</f>
        <v/>
      </c>
      <c r="L2751" t="inlineStr">
        <is>
          <t>2025-07-31 15:06:40.464 IST</t>
        </is>
      </c>
      <c r="M2751" t="inlineStr">
        <is>
          <t>Soundariya B</t>
        </is>
      </c>
      <c r="N2751" t="inlineStr">
        <is>
          <t>Yes</t>
        </is>
      </c>
      <c r="O2751" t="inlineStr">
        <is>
          <t>No</t>
        </is>
      </c>
      <c r="P2751" t="inlineStr"/>
      <c r="Q2751" t="inlineStr">
        <is>
          <t>Bad</t>
        </is>
      </c>
    </row>
    <row r="2752">
      <c r="A2752" t="inlineStr">
        <is>
          <t>IAM5K</t>
        </is>
      </c>
      <c r="B2752" t="inlineStr">
        <is>
          <t>Sandeep Kumar</t>
        </is>
      </c>
      <c r="C2752" t="inlineStr">
        <is>
          <t>sandeep.k@osmosys.co</t>
        </is>
      </c>
      <c r="D2752" t="inlineStr">
        <is>
          <t>talking-buddy</t>
        </is>
      </c>
      <c r="E2752">
        <f>HYPERLINK("http://gitlab.osmosys.co/talking-buddy/portal", "portal")</f>
        <v/>
      </c>
      <c r="F2752">
        <f>HYPERLINK("http://gitlab.osmosys.co/talking-buddy/portal/-/merge_requests/90", "feat: create generic support detail page")</f>
        <v/>
      </c>
      <c r="G2752" t="inlineStr">
        <is>
          <t>TKBT-534</t>
        </is>
      </c>
      <c r="H2752" t="inlineStr">
        <is>
          <t>main</t>
        </is>
      </c>
      <c r="I2752" t="inlineStr">
        <is>
          <t>opened</t>
        </is>
      </c>
      <c r="J2752" t="inlineStr">
        <is>
          <t>5aee06efb5121d1bd87085357819e38534120de0</t>
        </is>
      </c>
      <c r="K2752">
        <f>HYPERLINK("http://gitlab.osmosys.co/talking-buddy/portal/-/merge_requests/90#note_244552", "![image](/uploads/61c5292f631bca6fa07796480475e96f/image.png)")</f>
        <v/>
      </c>
      <c r="L2752" t="inlineStr">
        <is>
          <t>2025-07-30 23:51:37.518 IST</t>
        </is>
      </c>
      <c r="M2752" t="inlineStr">
        <is>
          <t>Soundariya B</t>
        </is>
      </c>
      <c r="N2752" t="inlineStr">
        <is>
          <t>Yes</t>
        </is>
      </c>
      <c r="O2752" t="inlineStr">
        <is>
          <t>No</t>
        </is>
      </c>
      <c r="P2752" t="inlineStr"/>
      <c r="Q2752" t="inlineStr">
        <is>
          <t>Bad</t>
        </is>
      </c>
    </row>
    <row r="2753">
      <c r="A2753" t="inlineStr">
        <is>
          <t>IAM5K</t>
        </is>
      </c>
      <c r="B2753" t="inlineStr">
        <is>
          <t>Sandeep Kumar</t>
        </is>
      </c>
      <c r="C2753" t="inlineStr">
        <is>
          <t>sandeep.k@osmosys.co</t>
        </is>
      </c>
      <c r="D2753" t="inlineStr">
        <is>
          <t>talking-buddy</t>
        </is>
      </c>
      <c r="E2753">
        <f>HYPERLINK("http://gitlab.osmosys.co/talking-buddy/portal", "portal")</f>
        <v/>
      </c>
      <c r="F2753">
        <f>HYPERLINK("http://gitlab.osmosys.co/talking-buddy/portal/-/merge_requests/90", "feat: create generic support detail page")</f>
        <v/>
      </c>
      <c r="G2753" t="inlineStr">
        <is>
          <t>TKBT-534</t>
        </is>
      </c>
      <c r="H2753" t="inlineStr">
        <is>
          <t>main</t>
        </is>
      </c>
      <c r="I2753" t="inlineStr">
        <is>
          <t>opened</t>
        </is>
      </c>
      <c r="J2753" t="inlineStr">
        <is>
          <t>5aee06efb5121d1bd87085357819e38534120de0</t>
        </is>
      </c>
      <c r="K2753">
        <f>HYPERLINK("http://gitlab.osmosys.co/talking-buddy/portal/-/merge_requests/90#note_244917", "Please update the screen shot in the PR and add to this thread with your comment that all are fixed or not")</f>
        <v/>
      </c>
      <c r="L2753" t="inlineStr">
        <is>
          <t>2025-07-31 15:07:26.305 IST</t>
        </is>
      </c>
      <c r="M2753" t="inlineStr">
        <is>
          <t>Soundariya B</t>
        </is>
      </c>
      <c r="N2753" t="inlineStr">
        <is>
          <t>Yes</t>
        </is>
      </c>
      <c r="O2753" t="inlineStr">
        <is>
          <t>No</t>
        </is>
      </c>
      <c r="P2753" t="inlineStr"/>
      <c r="Q2753" t="inlineStr">
        <is>
          <t>Bad</t>
        </is>
      </c>
    </row>
    <row r="2754">
      <c r="A2754" t="inlineStr">
        <is>
          <t>IAM5K</t>
        </is>
      </c>
      <c r="B2754" t="inlineStr">
        <is>
          <t>Sandeep Kumar</t>
        </is>
      </c>
      <c r="C2754" t="inlineStr">
        <is>
          <t>sandeep.k@osmosys.co</t>
        </is>
      </c>
      <c r="D2754" t="inlineStr">
        <is>
          <t>talking-buddy</t>
        </is>
      </c>
      <c r="E2754">
        <f>HYPERLINK("http://gitlab.osmosys.co/talking-buddy/portal", "portal")</f>
        <v/>
      </c>
      <c r="F2754">
        <f>HYPERLINK("http://gitlab.osmosys.co/talking-buddy/portal/-/merge_requests/90", "feat: create generic support detail page")</f>
        <v/>
      </c>
      <c r="G2754" t="inlineStr">
        <is>
          <t>TKBT-534</t>
        </is>
      </c>
      <c r="H2754" t="inlineStr">
        <is>
          <t>main</t>
        </is>
      </c>
      <c r="I2754" t="inlineStr">
        <is>
          <t>opened</t>
        </is>
      </c>
      <c r="J2754" t="inlineStr">
        <is>
          <t>c99301d68566a9a5c4e114d9bbee3a6d0254184b</t>
        </is>
      </c>
      <c r="K2754">
        <f>HYPERLINK("http://gitlab.osmosys.co/talking-buddy/portal/-/merge_requests/90#note_244553", "![image](/uploads/fa1c30ba52f3c7dfec1462b0016d6d6c/image.png)")</f>
        <v/>
      </c>
      <c r="L2754" t="inlineStr">
        <is>
          <t>2025-07-30 23:51:37.539 IST</t>
        </is>
      </c>
      <c r="M2754" t="inlineStr">
        <is>
          <t>Soundariya B</t>
        </is>
      </c>
      <c r="N2754" t="inlineStr">
        <is>
          <t>Yes</t>
        </is>
      </c>
      <c r="O2754" t="inlineStr">
        <is>
          <t>No</t>
        </is>
      </c>
      <c r="P2754" t="inlineStr"/>
      <c r="Q2754" t="inlineStr">
        <is>
          <t>Bad</t>
        </is>
      </c>
    </row>
    <row r="2755">
      <c r="A2755" t="inlineStr">
        <is>
          <t>IAM5K</t>
        </is>
      </c>
      <c r="B2755" t="inlineStr">
        <is>
          <t>Sandeep Kumar</t>
        </is>
      </c>
      <c r="C2755" t="inlineStr">
        <is>
          <t>sandeep.k@osmosys.co</t>
        </is>
      </c>
      <c r="D2755" t="inlineStr">
        <is>
          <t>talking-buddy</t>
        </is>
      </c>
      <c r="E2755">
        <f>HYPERLINK("http://gitlab.osmosys.co/talking-buddy/portal", "portal")</f>
        <v/>
      </c>
      <c r="F2755">
        <f>HYPERLINK("http://gitlab.osmosys.co/talking-buddy/portal/-/merge_requests/90", "feat: create generic support detail page")</f>
        <v/>
      </c>
      <c r="G2755" t="inlineStr">
        <is>
          <t>TKBT-534</t>
        </is>
      </c>
      <c r="H2755" t="inlineStr">
        <is>
          <t>main</t>
        </is>
      </c>
      <c r="I2755" t="inlineStr">
        <is>
          <t>opened</t>
        </is>
      </c>
      <c r="J2755" t="inlineStr">
        <is>
          <t>c99301d68566a9a5c4e114d9bbee3a6d0254184b</t>
        </is>
      </c>
      <c r="K2755">
        <f>HYPERLINK("http://gitlab.osmosys.co/talking-buddy/portal/-/merge_requests/90#note_244918", "Please update the screen shot in the PR and add to this thread with your comment that all are fixed or not")</f>
        <v/>
      </c>
      <c r="L2755" t="inlineStr">
        <is>
          <t>2025-07-31 15:07:46.200 IST</t>
        </is>
      </c>
      <c r="M2755" t="inlineStr">
        <is>
          <t>Soundariya B</t>
        </is>
      </c>
      <c r="N2755" t="inlineStr">
        <is>
          <t>Yes</t>
        </is>
      </c>
      <c r="O2755" t="inlineStr">
        <is>
          <t>No</t>
        </is>
      </c>
      <c r="P2755" t="inlineStr"/>
      <c r="Q2755" t="inlineStr">
        <is>
          <t>Bad</t>
        </is>
      </c>
    </row>
    <row r="2756">
      <c r="A2756" t="inlineStr">
        <is>
          <t>IAM5K</t>
        </is>
      </c>
      <c r="B2756" t="inlineStr">
        <is>
          <t>Sandeep Kumar</t>
        </is>
      </c>
      <c r="C2756" t="inlineStr">
        <is>
          <t>sandeep.k@osmosys.co</t>
        </is>
      </c>
      <c r="D2756" t="inlineStr">
        <is>
          <t>talking-buddy</t>
        </is>
      </c>
      <c r="E2756">
        <f>HYPERLINK("http://gitlab.osmosys.co/talking-buddy/portal", "portal")</f>
        <v/>
      </c>
      <c r="F2756">
        <f>HYPERLINK("http://gitlab.osmosys.co/talking-buddy/portal/-/merge_requests/90", "feat: create generic support detail page")</f>
        <v/>
      </c>
      <c r="G2756" t="inlineStr">
        <is>
          <t>TKBT-534</t>
        </is>
      </c>
      <c r="H2756" t="inlineStr">
        <is>
          <t>main</t>
        </is>
      </c>
      <c r="I2756" t="inlineStr">
        <is>
          <t>opened</t>
        </is>
      </c>
      <c r="J2756" t="inlineStr">
        <is>
          <t>5612e9c7636dfe6452a3ba073fbe79000c8cc0ff</t>
        </is>
      </c>
      <c r="K2756">
        <f>HYPERLINK("http://gitlab.osmosys.co/talking-buddy/portal/-/merge_requests/90#note_244554", "Rename it - getDisputeById -- Because with an ID you will get 1 dispute detail, not many, I believe, so can't use 's'")</f>
        <v/>
      </c>
      <c r="L2756" t="inlineStr">
        <is>
          <t>2025-07-30 23:51:37.589 IST</t>
        </is>
      </c>
      <c r="M2756" t="inlineStr">
        <is>
          <t>Soundariya B</t>
        </is>
      </c>
      <c r="N2756" t="inlineStr">
        <is>
          <t>Yes</t>
        </is>
      </c>
      <c r="O2756" t="inlineStr">
        <is>
          <t>Yes</t>
        </is>
      </c>
      <c r="P2756" t="inlineStr">
        <is>
          <t>Soundariya B</t>
        </is>
      </c>
      <c r="Q2756" t="inlineStr">
        <is>
          <t>Bad</t>
        </is>
      </c>
    </row>
    <row r="2757">
      <c r="A2757" t="inlineStr">
        <is>
          <t>IAM5K</t>
        </is>
      </c>
      <c r="B2757" t="inlineStr">
        <is>
          <t>Sandeep Kumar</t>
        </is>
      </c>
      <c r="C2757" t="inlineStr">
        <is>
          <t>sandeep.k@osmosys.co</t>
        </is>
      </c>
      <c r="D2757" t="inlineStr">
        <is>
          <t>talking-buddy</t>
        </is>
      </c>
      <c r="E2757">
        <f>HYPERLINK("http://gitlab.osmosys.co/talking-buddy/portal", "portal")</f>
        <v/>
      </c>
      <c r="F2757">
        <f>HYPERLINK("http://gitlab.osmosys.co/talking-buddy/portal/-/merge_requests/90", "feat: create generic support detail page")</f>
        <v/>
      </c>
      <c r="G2757" t="inlineStr">
        <is>
          <t>TKBT-534</t>
        </is>
      </c>
      <c r="H2757" t="inlineStr">
        <is>
          <t>main</t>
        </is>
      </c>
      <c r="I2757" t="inlineStr">
        <is>
          <t>opened</t>
        </is>
      </c>
      <c r="J2757" t="inlineStr">
        <is>
          <t>5612e9c7636dfe6452a3ba073fbe79000c8cc0ff</t>
        </is>
      </c>
      <c r="K2757">
        <f>HYPERLINK("http://gitlab.osmosys.co/talking-buddy/portal/-/merge_requests/90#note_244933", "Not yet fixed")</f>
        <v/>
      </c>
      <c r="L2757" t="inlineStr">
        <is>
          <t>2025-07-31 15:11:06.425 IST</t>
        </is>
      </c>
      <c r="M2757" t="inlineStr">
        <is>
          <t>Soundariya B</t>
        </is>
      </c>
      <c r="N2757" t="inlineStr">
        <is>
          <t>Yes</t>
        </is>
      </c>
      <c r="O2757" t="inlineStr">
        <is>
          <t>Yes</t>
        </is>
      </c>
      <c r="P2757" t="inlineStr">
        <is>
          <t>Soundariya B</t>
        </is>
      </c>
      <c r="Q2757" t="inlineStr">
        <is>
          <t>Bad</t>
        </is>
      </c>
    </row>
    <row r="2758">
      <c r="A2758" t="inlineStr">
        <is>
          <t>IAM5K</t>
        </is>
      </c>
      <c r="B2758" t="inlineStr">
        <is>
          <t>Sandeep Kumar</t>
        </is>
      </c>
      <c r="C2758" t="inlineStr">
        <is>
          <t>sandeep.k@osmosys.co</t>
        </is>
      </c>
      <c r="D2758" t="inlineStr">
        <is>
          <t>talking-buddy</t>
        </is>
      </c>
      <c r="E2758">
        <f>HYPERLINK("http://gitlab.osmosys.co/talking-buddy/portal", "portal")</f>
        <v/>
      </c>
      <c r="F2758">
        <f>HYPERLINK("http://gitlab.osmosys.co/talking-buddy/portal/-/merge_requests/90", "feat: create generic support detail page")</f>
        <v/>
      </c>
      <c r="G2758" t="inlineStr">
        <is>
          <t>TKBT-534</t>
        </is>
      </c>
      <c r="H2758" t="inlineStr">
        <is>
          <t>main</t>
        </is>
      </c>
      <c r="I2758" t="inlineStr">
        <is>
          <t>opened</t>
        </is>
      </c>
      <c r="J2758" t="inlineStr">
        <is>
          <t>5612e9c7636dfe6452a3ba073fbe79000c8cc0ff</t>
        </is>
      </c>
      <c r="K2758">
        <f>HYPERLINK("http://gitlab.osmosys.co/talking-buddy/portal/-/merge_requests/90#note_245031", "Ok changes are reflecting now and its fine")</f>
        <v/>
      </c>
      <c r="L2758" t="inlineStr">
        <is>
          <t>2025-07-31 15:51:17.384 IST</t>
        </is>
      </c>
      <c r="M2758" t="inlineStr">
        <is>
          <t>Soundariya B</t>
        </is>
      </c>
      <c r="N2758" t="inlineStr">
        <is>
          <t>Yes</t>
        </is>
      </c>
      <c r="O2758" t="inlineStr">
        <is>
          <t>Yes</t>
        </is>
      </c>
      <c r="P2758" t="inlineStr">
        <is>
          <t>Soundariya B</t>
        </is>
      </c>
      <c r="Q2758" t="inlineStr">
        <is>
          <t>Bad</t>
        </is>
      </c>
    </row>
    <row r="2759">
      <c r="A2759" t="inlineStr">
        <is>
          <t>IAM5K</t>
        </is>
      </c>
      <c r="B2759" t="inlineStr">
        <is>
          <t>Sandeep Kumar</t>
        </is>
      </c>
      <c r="C2759" t="inlineStr">
        <is>
          <t>sandeep.k@osmosys.co</t>
        </is>
      </c>
      <c r="D2759" t="inlineStr">
        <is>
          <t>talking-buddy</t>
        </is>
      </c>
      <c r="E2759">
        <f>HYPERLINK("http://gitlab.osmosys.co/talking-buddy/portal", "portal")</f>
        <v/>
      </c>
      <c r="F2759">
        <f>HYPERLINK("http://gitlab.osmosys.co/talking-buddy/portal/-/merge_requests/90", "feat: create generic support detail page")</f>
        <v/>
      </c>
      <c r="G2759" t="inlineStr">
        <is>
          <t>TKBT-534</t>
        </is>
      </c>
      <c r="H2759" t="inlineStr">
        <is>
          <t>main</t>
        </is>
      </c>
      <c r="I2759" t="inlineStr">
        <is>
          <t>opened</t>
        </is>
      </c>
      <c r="J2759" t="inlineStr">
        <is>
          <t>fd705f4993f4059357a0cbea64728f2522608640</t>
        </is>
      </c>
      <c r="K2759">
        <f>HYPERLINK("http://gitlab.osmosys.co/talking-buddy/portal/-/merge_requests/90#note_244555", "Suggested improvement which is better - if (!callId || callId === 'null')")</f>
        <v/>
      </c>
      <c r="L2759" t="inlineStr">
        <is>
          <t>2025-07-30 23:51:37.670 IST</t>
        </is>
      </c>
      <c r="M2759" t="inlineStr">
        <is>
          <t>Soundariya B</t>
        </is>
      </c>
      <c r="N2759" t="inlineStr">
        <is>
          <t>Yes</t>
        </is>
      </c>
      <c r="O2759" t="inlineStr">
        <is>
          <t>Yes</t>
        </is>
      </c>
      <c r="P2759" t="inlineStr">
        <is>
          <t>Soundariya B</t>
        </is>
      </c>
      <c r="Q2759" t="inlineStr">
        <is>
          <t>Bad</t>
        </is>
      </c>
    </row>
    <row r="2760">
      <c r="A2760" t="inlineStr">
        <is>
          <t>IAM5K</t>
        </is>
      </c>
      <c r="B2760" t="inlineStr">
        <is>
          <t>Sandeep Kumar</t>
        </is>
      </c>
      <c r="C2760" t="inlineStr">
        <is>
          <t>sandeep.k@osmosys.co</t>
        </is>
      </c>
      <c r="D2760" t="inlineStr">
        <is>
          <t>talking-buddy</t>
        </is>
      </c>
      <c r="E2760">
        <f>HYPERLINK("http://gitlab.osmosys.co/talking-buddy/portal", "portal")</f>
        <v/>
      </c>
      <c r="F2760">
        <f>HYPERLINK("http://gitlab.osmosys.co/talking-buddy/portal/-/merge_requests/90", "feat: create generic support detail page")</f>
        <v/>
      </c>
      <c r="G2760" t="inlineStr">
        <is>
          <t>TKBT-534</t>
        </is>
      </c>
      <c r="H2760" t="inlineStr">
        <is>
          <t>main</t>
        </is>
      </c>
      <c r="I2760" t="inlineStr">
        <is>
          <t>opened</t>
        </is>
      </c>
      <c r="J2760" t="inlineStr">
        <is>
          <t>fd705f4993f4059357a0cbea64728f2522608640</t>
        </is>
      </c>
      <c r="K2760">
        <f>HYPERLINK("http://gitlab.osmosys.co/talking-buddy/portal/-/merge_requests/90#note_244934", "Not yet fixed")</f>
        <v/>
      </c>
      <c r="L2760" t="inlineStr">
        <is>
          <t>2025-07-31 15:11:17.565 IST</t>
        </is>
      </c>
      <c r="M2760" t="inlineStr">
        <is>
          <t>Soundariya B</t>
        </is>
      </c>
      <c r="N2760" t="inlineStr">
        <is>
          <t>Yes</t>
        </is>
      </c>
      <c r="O2760" t="inlineStr">
        <is>
          <t>Yes</t>
        </is>
      </c>
      <c r="P2760" t="inlineStr">
        <is>
          <t>Soundariya B</t>
        </is>
      </c>
      <c r="Q2760" t="inlineStr">
        <is>
          <t>Bad</t>
        </is>
      </c>
    </row>
    <row r="2761">
      <c r="A2761" t="inlineStr">
        <is>
          <t>IAM5K</t>
        </is>
      </c>
      <c r="B2761" t="inlineStr">
        <is>
          <t>Sandeep Kumar</t>
        </is>
      </c>
      <c r="C2761" t="inlineStr">
        <is>
          <t>sandeep.k@osmosys.co</t>
        </is>
      </c>
      <c r="D2761" t="inlineStr">
        <is>
          <t>talking-buddy</t>
        </is>
      </c>
      <c r="E2761">
        <f>HYPERLINK("http://gitlab.osmosys.co/talking-buddy/portal", "portal")</f>
        <v/>
      </c>
      <c r="F2761">
        <f>HYPERLINK("http://gitlab.osmosys.co/talking-buddy/portal/-/merge_requests/90", "feat: create generic support detail page")</f>
        <v/>
      </c>
      <c r="G2761" t="inlineStr">
        <is>
          <t>TKBT-534</t>
        </is>
      </c>
      <c r="H2761" t="inlineStr">
        <is>
          <t>main</t>
        </is>
      </c>
      <c r="I2761" t="inlineStr">
        <is>
          <t>opened</t>
        </is>
      </c>
      <c r="J2761" t="inlineStr">
        <is>
          <t>0c806207edf2a61538d64aaa5f95377cc21cec3c</t>
        </is>
      </c>
      <c r="K2761">
        <f>HYPERLINK("http://gitlab.osmosys.co/talking-buddy/portal/-/merge_requests/90#note_244556", "Remove this")</f>
        <v/>
      </c>
      <c r="L2761" t="inlineStr">
        <is>
          <t>2025-07-30 23:51:37.753 IST</t>
        </is>
      </c>
      <c r="M2761" t="inlineStr">
        <is>
          <t>Soundariya B</t>
        </is>
      </c>
      <c r="N2761" t="inlineStr">
        <is>
          <t>Yes</t>
        </is>
      </c>
      <c r="O2761" t="inlineStr">
        <is>
          <t>Yes</t>
        </is>
      </c>
      <c r="P2761" t="inlineStr">
        <is>
          <t>Soundariya B</t>
        </is>
      </c>
      <c r="Q2761" t="inlineStr">
        <is>
          <t>Bad</t>
        </is>
      </c>
    </row>
    <row r="2762">
      <c r="A2762" t="inlineStr">
        <is>
          <t>IAM5K</t>
        </is>
      </c>
      <c r="B2762" t="inlineStr">
        <is>
          <t>Sandeep Kumar</t>
        </is>
      </c>
      <c r="C2762" t="inlineStr">
        <is>
          <t>sandeep.k@osmosys.co</t>
        </is>
      </c>
      <c r="D2762" t="inlineStr">
        <is>
          <t>talking-buddy</t>
        </is>
      </c>
      <c r="E2762">
        <f>HYPERLINK("http://gitlab.osmosys.co/talking-buddy/portal", "portal")</f>
        <v/>
      </c>
      <c r="F2762">
        <f>HYPERLINK("http://gitlab.osmosys.co/talking-buddy/portal/-/merge_requests/90", "feat: create generic support detail page")</f>
        <v/>
      </c>
      <c r="G2762" t="inlineStr">
        <is>
          <t>TKBT-534</t>
        </is>
      </c>
      <c r="H2762" t="inlineStr">
        <is>
          <t>main</t>
        </is>
      </c>
      <c r="I2762" t="inlineStr">
        <is>
          <t>opened</t>
        </is>
      </c>
      <c r="J2762" t="inlineStr">
        <is>
          <t>0c806207edf2a61538d64aaa5f95377cc21cec3c</t>
        </is>
      </c>
      <c r="K2762">
        <f>HYPERLINK("http://gitlab.osmosys.co/talking-buddy/portal/-/merge_requests/90#note_244935", "Not yet fixed")</f>
        <v/>
      </c>
      <c r="L2762" t="inlineStr">
        <is>
          <t>2025-07-31 15:11:27.943 IST</t>
        </is>
      </c>
      <c r="M2762" t="inlineStr">
        <is>
          <t>Soundariya B</t>
        </is>
      </c>
      <c r="N2762" t="inlineStr">
        <is>
          <t>Yes</t>
        </is>
      </c>
      <c r="O2762" t="inlineStr">
        <is>
          <t>Yes</t>
        </is>
      </c>
      <c r="P2762" t="inlineStr">
        <is>
          <t>Soundariya B</t>
        </is>
      </c>
      <c r="Q2762" t="inlineStr">
        <is>
          <t>Bad</t>
        </is>
      </c>
    </row>
    <row r="2763">
      <c r="A2763" t="inlineStr">
        <is>
          <t>IAM5K</t>
        </is>
      </c>
      <c r="B2763" t="inlineStr">
        <is>
          <t>Sandeep Kumar</t>
        </is>
      </c>
      <c r="C2763" t="inlineStr">
        <is>
          <t>sandeep.k@osmosys.co</t>
        </is>
      </c>
      <c r="D2763" t="inlineStr">
        <is>
          <t>talking-buddy</t>
        </is>
      </c>
      <c r="E2763">
        <f>HYPERLINK("http://gitlab.osmosys.co/talking-buddy/portal", "portal")</f>
        <v/>
      </c>
      <c r="F2763">
        <f>HYPERLINK("http://gitlab.osmosys.co/talking-buddy/portal/-/merge_requests/90", "feat: create generic support detail page")</f>
        <v/>
      </c>
      <c r="G2763" t="inlineStr">
        <is>
          <t>TKBT-534</t>
        </is>
      </c>
      <c r="H2763" t="inlineStr">
        <is>
          <t>main</t>
        </is>
      </c>
      <c r="I2763" t="inlineStr">
        <is>
          <t>opened</t>
        </is>
      </c>
      <c r="J2763" t="inlineStr">
        <is>
          <t>0c806207edf2a61538d64aaa5f95377cc21cec3c</t>
        </is>
      </c>
      <c r="K2763">
        <f>HYPERLINK("http://gitlab.osmosys.co/talking-buddy/portal/-/merge_requests/90#note_245030", "Ok changes are reflecting now and its fine")</f>
        <v/>
      </c>
      <c r="L2763" t="inlineStr">
        <is>
          <t>2025-07-31 15:50:54.376 IST</t>
        </is>
      </c>
      <c r="M2763" t="inlineStr">
        <is>
          <t>Soundariya B</t>
        </is>
      </c>
      <c r="N2763" t="inlineStr">
        <is>
          <t>Yes</t>
        </is>
      </c>
      <c r="O2763" t="inlineStr">
        <is>
          <t>Yes</t>
        </is>
      </c>
      <c r="P2763" t="inlineStr">
        <is>
          <t>Soundariya B</t>
        </is>
      </c>
      <c r="Q2763" t="inlineStr">
        <is>
          <t>Bad</t>
        </is>
      </c>
    </row>
    <row r="2764">
      <c r="A2764" t="inlineStr">
        <is>
          <t>IAM5K</t>
        </is>
      </c>
      <c r="B2764" t="inlineStr">
        <is>
          <t>Sandeep Kumar</t>
        </is>
      </c>
      <c r="C2764" t="inlineStr">
        <is>
          <t>sandeep.k@osmosys.co</t>
        </is>
      </c>
      <c r="D2764" t="inlineStr">
        <is>
          <t>talking-buddy</t>
        </is>
      </c>
      <c r="E2764">
        <f>HYPERLINK("http://gitlab.osmosys.co/talking-buddy/portal", "portal")</f>
        <v/>
      </c>
      <c r="F2764">
        <f>HYPERLINK("http://gitlab.osmosys.co/talking-buddy/portal/-/merge_requests/90", "feat: create generic support detail page")</f>
        <v/>
      </c>
      <c r="G2764" t="inlineStr">
        <is>
          <t>TKBT-534</t>
        </is>
      </c>
      <c r="H2764" t="inlineStr">
        <is>
          <t>main</t>
        </is>
      </c>
      <c r="I2764" t="inlineStr">
        <is>
          <t>opened</t>
        </is>
      </c>
      <c r="J2764" t="inlineStr">
        <is>
          <t>82ef4b85891e0eb9aa541ee9f6e7978ac234b94e</t>
        </is>
      </c>
      <c r="K2764">
        <f>HYPERLINK("http://gitlab.osmosys.co/talking-buddy/portal/-/merge_requests/90#note_244557", "Get the hardcoded text from lang files")</f>
        <v/>
      </c>
      <c r="L2764" t="inlineStr">
        <is>
          <t>2025-07-30 23:51:37.814 IST</t>
        </is>
      </c>
      <c r="M2764" t="inlineStr">
        <is>
          <t>Soundariya B</t>
        </is>
      </c>
      <c r="N2764" t="inlineStr">
        <is>
          <t>Yes</t>
        </is>
      </c>
      <c r="O2764" t="inlineStr">
        <is>
          <t>Yes</t>
        </is>
      </c>
      <c r="P2764" t="inlineStr">
        <is>
          <t>Soundariya B</t>
        </is>
      </c>
      <c r="Q2764" t="inlineStr">
        <is>
          <t>Bad</t>
        </is>
      </c>
    </row>
    <row r="2765">
      <c r="A2765" t="inlineStr">
        <is>
          <t>IAM5K</t>
        </is>
      </c>
      <c r="B2765" t="inlineStr">
        <is>
          <t>Sandeep Kumar</t>
        </is>
      </c>
      <c r="C2765" t="inlineStr">
        <is>
          <t>sandeep.k@osmosys.co</t>
        </is>
      </c>
      <c r="D2765" t="inlineStr">
        <is>
          <t>talking-buddy</t>
        </is>
      </c>
      <c r="E2765">
        <f>HYPERLINK("http://gitlab.osmosys.co/talking-buddy/portal", "portal")</f>
        <v/>
      </c>
      <c r="F2765">
        <f>HYPERLINK("http://gitlab.osmosys.co/talking-buddy/portal/-/merge_requests/90", "feat: create generic support detail page")</f>
        <v/>
      </c>
      <c r="G2765" t="inlineStr">
        <is>
          <t>TKBT-534</t>
        </is>
      </c>
      <c r="H2765" t="inlineStr">
        <is>
          <t>main</t>
        </is>
      </c>
      <c r="I2765" t="inlineStr">
        <is>
          <t>opened</t>
        </is>
      </c>
      <c r="J2765" t="inlineStr">
        <is>
          <t>82ef4b85891e0eb9aa541ee9f6e7978ac234b94e</t>
        </is>
      </c>
      <c r="K2765">
        <f>HYPERLINK("http://gitlab.osmosys.co/talking-buddy/portal/-/merge_requests/90#note_244936", "Not yet fixed")</f>
        <v/>
      </c>
      <c r="L2765" t="inlineStr">
        <is>
          <t>2025-07-31 15:11:41.766 IST</t>
        </is>
      </c>
      <c r="M2765" t="inlineStr">
        <is>
          <t>Soundariya B</t>
        </is>
      </c>
      <c r="N2765" t="inlineStr">
        <is>
          <t>Yes</t>
        </is>
      </c>
      <c r="O2765" t="inlineStr">
        <is>
          <t>Yes</t>
        </is>
      </c>
      <c r="P2765" t="inlineStr">
        <is>
          <t>Soundariya B</t>
        </is>
      </c>
      <c r="Q2765" t="inlineStr">
        <is>
          <t>Bad</t>
        </is>
      </c>
    </row>
    <row r="2766">
      <c r="A2766" t="inlineStr">
        <is>
          <t>IAM5K</t>
        </is>
      </c>
      <c r="B2766" t="inlineStr">
        <is>
          <t>Sandeep Kumar</t>
        </is>
      </c>
      <c r="C2766" t="inlineStr">
        <is>
          <t>sandeep.k@osmosys.co</t>
        </is>
      </c>
      <c r="D2766" t="inlineStr">
        <is>
          <t>talking-buddy</t>
        </is>
      </c>
      <c r="E2766">
        <f>HYPERLINK("http://gitlab.osmosys.co/talking-buddy/portal", "portal")</f>
        <v/>
      </c>
      <c r="F2766">
        <f>HYPERLINK("http://gitlab.osmosys.co/talking-buddy/portal/-/merge_requests/90", "feat: create generic support detail page")</f>
        <v/>
      </c>
      <c r="G2766" t="inlineStr">
        <is>
          <t>TKBT-534</t>
        </is>
      </c>
      <c r="H2766" t="inlineStr">
        <is>
          <t>main</t>
        </is>
      </c>
      <c r="I2766" t="inlineStr">
        <is>
          <t>opened</t>
        </is>
      </c>
      <c r="J2766" t="inlineStr">
        <is>
          <t>82ef4b85891e0eb9aa541ee9f6e7978ac234b94e</t>
        </is>
      </c>
      <c r="K2766">
        <f>HYPERLINK("http://gitlab.osmosys.co/talking-buddy/portal/-/merge_requests/90#note_245029", "Ok changes are reflecting now and its fine")</f>
        <v/>
      </c>
      <c r="L2766" t="inlineStr">
        <is>
          <t>2025-07-31 15:50:42.199 IST</t>
        </is>
      </c>
      <c r="M2766" t="inlineStr">
        <is>
          <t>Soundariya B</t>
        </is>
      </c>
      <c r="N2766" t="inlineStr">
        <is>
          <t>Yes</t>
        </is>
      </c>
      <c r="O2766" t="inlineStr">
        <is>
          <t>Yes</t>
        </is>
      </c>
      <c r="P2766" t="inlineStr">
        <is>
          <t>Soundariya B</t>
        </is>
      </c>
      <c r="Q2766" t="inlineStr">
        <is>
          <t>Bad</t>
        </is>
      </c>
    </row>
    <row r="2767">
      <c r="A2767" t="inlineStr">
        <is>
          <t>IAM5K</t>
        </is>
      </c>
      <c r="B2767" t="inlineStr">
        <is>
          <t>Sandeep Kumar</t>
        </is>
      </c>
      <c r="C2767" t="inlineStr">
        <is>
          <t>sandeep.k@osmosys.co</t>
        </is>
      </c>
      <c r="D2767" t="inlineStr">
        <is>
          <t>talking-buddy</t>
        </is>
      </c>
      <c r="E2767">
        <f>HYPERLINK("http://gitlab.osmosys.co/talking-buddy/portal", "portal")</f>
        <v/>
      </c>
      <c r="F2767">
        <f>HYPERLINK("http://gitlab.osmosys.co/talking-buddy/portal/-/merge_requests/90", "feat: create generic support detail page")</f>
        <v/>
      </c>
      <c r="G2767" t="inlineStr">
        <is>
          <t>TKBT-534</t>
        </is>
      </c>
      <c r="H2767" t="inlineStr">
        <is>
          <t>main</t>
        </is>
      </c>
      <c r="I2767" t="inlineStr">
        <is>
          <t>opened</t>
        </is>
      </c>
      <c r="J2767" t="inlineStr">
        <is>
          <t>308413d8adf589a1bc3219e5bbc1b40d7f22254f</t>
        </is>
      </c>
      <c r="K2767">
        <f>HYPERLINK("http://gitlab.osmosys.co/talking-buddy/portal/-/merge_requests/90#note_244558", "Please fix it everywhere - The all label translation should come from a new object label called - SERVICE_DETAILS_PAGE, not from other label objects eg, 'SERVICE_DETAILS_PAGE.DISPUTE_OVERVIEW_TABLE_HEADING'
So better to separate the labels for the different pages")</f>
        <v/>
      </c>
      <c r="L2767" t="inlineStr">
        <is>
          <t>2025-07-30 23:51:37.873 IST</t>
        </is>
      </c>
      <c r="M2767" t="inlineStr">
        <is>
          <t>Soundariya B</t>
        </is>
      </c>
      <c r="N2767" t="inlineStr">
        <is>
          <t>Yes</t>
        </is>
      </c>
      <c r="O2767" t="inlineStr">
        <is>
          <t>Yes</t>
        </is>
      </c>
      <c r="P2767" t="inlineStr">
        <is>
          <t>Soundariya B</t>
        </is>
      </c>
      <c r="Q2767" t="inlineStr">
        <is>
          <t>Bad</t>
        </is>
      </c>
    </row>
    <row r="2768">
      <c r="A2768" t="inlineStr">
        <is>
          <t>IAM5K</t>
        </is>
      </c>
      <c r="B2768" t="inlineStr">
        <is>
          <t>Sandeep Kumar</t>
        </is>
      </c>
      <c r="C2768" t="inlineStr">
        <is>
          <t>sandeep.k@osmosys.co</t>
        </is>
      </c>
      <c r="D2768" t="inlineStr">
        <is>
          <t>talking-buddy</t>
        </is>
      </c>
      <c r="E2768">
        <f>HYPERLINK("http://gitlab.osmosys.co/talking-buddy/portal", "portal")</f>
        <v/>
      </c>
      <c r="F2768">
        <f>HYPERLINK("http://gitlab.osmosys.co/talking-buddy/portal/-/merge_requests/90", "feat: create generic support detail page")</f>
        <v/>
      </c>
      <c r="G2768" t="inlineStr">
        <is>
          <t>TKBT-534</t>
        </is>
      </c>
      <c r="H2768" t="inlineStr">
        <is>
          <t>main</t>
        </is>
      </c>
      <c r="I2768" t="inlineStr">
        <is>
          <t>opened</t>
        </is>
      </c>
      <c r="J2768" t="inlineStr">
        <is>
          <t>308413d8adf589a1bc3219e5bbc1b40d7f22254f</t>
        </is>
      </c>
      <c r="K2768">
        <f>HYPERLINK("http://gitlab.osmosys.co/talking-buddy/portal/-/merge_requests/90#note_244937", "Not yet fixed")</f>
        <v/>
      </c>
      <c r="L2768" t="inlineStr">
        <is>
          <t>2025-07-31 15:11:50.817 IST</t>
        </is>
      </c>
      <c r="M2768" t="inlineStr">
        <is>
          <t>Soundariya B</t>
        </is>
      </c>
      <c r="N2768" t="inlineStr">
        <is>
          <t>Yes</t>
        </is>
      </c>
      <c r="O2768" t="inlineStr">
        <is>
          <t>Yes</t>
        </is>
      </c>
      <c r="P2768" t="inlineStr">
        <is>
          <t>Soundariya B</t>
        </is>
      </c>
      <c r="Q2768" t="inlineStr">
        <is>
          <t>Bad</t>
        </is>
      </c>
    </row>
    <row r="2769">
      <c r="A2769" t="inlineStr">
        <is>
          <t>IAM5K</t>
        </is>
      </c>
      <c r="B2769" t="inlineStr">
        <is>
          <t>Sandeep Kumar</t>
        </is>
      </c>
      <c r="C2769" t="inlineStr">
        <is>
          <t>sandeep.k@osmosys.co</t>
        </is>
      </c>
      <c r="D2769" t="inlineStr">
        <is>
          <t>talking-buddy</t>
        </is>
      </c>
      <c r="E2769">
        <f>HYPERLINK("http://gitlab.osmosys.co/talking-buddy/portal", "portal")</f>
        <v/>
      </c>
      <c r="F2769">
        <f>HYPERLINK("http://gitlab.osmosys.co/talking-buddy/portal/-/merge_requests/90", "feat: create generic support detail page")</f>
        <v/>
      </c>
      <c r="G2769" t="inlineStr">
        <is>
          <t>TKBT-534</t>
        </is>
      </c>
      <c r="H2769" t="inlineStr">
        <is>
          <t>main</t>
        </is>
      </c>
      <c r="I2769" t="inlineStr">
        <is>
          <t>opened</t>
        </is>
      </c>
      <c r="J2769" t="inlineStr">
        <is>
          <t>308413d8adf589a1bc3219e5bbc1b40d7f22254f</t>
        </is>
      </c>
      <c r="K2769">
        <f>HYPERLINK("http://gitlab.osmosys.co/talking-buddy/portal/-/merge_requests/90#note_245028", "Ok changes are reflecting now and its fine")</f>
        <v/>
      </c>
      <c r="L2769" t="inlineStr">
        <is>
          <t>2025-07-31 15:50:06.617 IST</t>
        </is>
      </c>
      <c r="M2769" t="inlineStr">
        <is>
          <t>Soundariya B</t>
        </is>
      </c>
      <c r="N2769" t="inlineStr">
        <is>
          <t>Yes</t>
        </is>
      </c>
      <c r="O2769" t="inlineStr">
        <is>
          <t>Yes</t>
        </is>
      </c>
      <c r="P2769" t="inlineStr">
        <is>
          <t>Soundariya B</t>
        </is>
      </c>
      <c r="Q2769" t="inlineStr">
        <is>
          <t>Bad</t>
        </is>
      </c>
    </row>
    <row r="2770">
      <c r="A2770" t="inlineStr">
        <is>
          <t>IAM5K</t>
        </is>
      </c>
      <c r="B2770" t="inlineStr">
        <is>
          <t>Sandeep Kumar</t>
        </is>
      </c>
      <c r="C2770" t="inlineStr">
        <is>
          <t>sandeep.k@osmosys.co</t>
        </is>
      </c>
      <c r="D2770" t="inlineStr">
        <is>
          <t>talking-buddy</t>
        </is>
      </c>
      <c r="E2770">
        <f>HYPERLINK("http://gitlab.osmosys.co/talking-buddy/portal", "portal")</f>
        <v/>
      </c>
      <c r="F2770">
        <f>HYPERLINK("http://gitlab.osmosys.co/talking-buddy/portal/-/merge_requests/90", "feat: create generic support detail page")</f>
        <v/>
      </c>
      <c r="G2770" t="inlineStr">
        <is>
          <t>TKBT-534</t>
        </is>
      </c>
      <c r="H2770" t="inlineStr">
        <is>
          <t>main</t>
        </is>
      </c>
      <c r="I2770" t="inlineStr">
        <is>
          <t>opened</t>
        </is>
      </c>
      <c r="J2770" t="inlineStr">
        <is>
          <t>7803753e48a366f9cdf499eb6874adcb05e75701</t>
        </is>
      </c>
      <c r="K2770">
        <f>HYPERLINK("http://gitlab.osmosys.co/talking-buddy/portal/-/merge_requests/90#note_244559", "Time must be there, along with date please add it")</f>
        <v/>
      </c>
      <c r="L2770" t="inlineStr">
        <is>
          <t>2025-07-30 23:51:37.930 IST</t>
        </is>
      </c>
      <c r="M2770" t="inlineStr">
        <is>
          <t>Soundariya B</t>
        </is>
      </c>
      <c r="N2770" t="inlineStr">
        <is>
          <t>Yes</t>
        </is>
      </c>
      <c r="O2770" t="inlineStr">
        <is>
          <t>No</t>
        </is>
      </c>
      <c r="P2770" t="inlineStr"/>
      <c r="Q2770" t="inlineStr">
        <is>
          <t>Bad</t>
        </is>
      </c>
    </row>
    <row r="2771">
      <c r="A2771" t="inlineStr">
        <is>
          <t>IAM5K</t>
        </is>
      </c>
      <c r="B2771" t="inlineStr">
        <is>
          <t>Sandeep Kumar</t>
        </is>
      </c>
      <c r="C2771" t="inlineStr">
        <is>
          <t>sandeep.k@osmosys.co</t>
        </is>
      </c>
      <c r="D2771" t="inlineStr">
        <is>
          <t>talking-buddy</t>
        </is>
      </c>
      <c r="E2771">
        <f>HYPERLINK("http://gitlab.osmosys.co/talking-buddy/portal", "portal")</f>
        <v/>
      </c>
      <c r="F2771">
        <f>HYPERLINK("http://gitlab.osmosys.co/talking-buddy/portal/-/merge_requests/90", "feat: create generic support detail page")</f>
        <v/>
      </c>
      <c r="G2771" t="inlineStr">
        <is>
          <t>TKBT-534</t>
        </is>
      </c>
      <c r="H2771" t="inlineStr">
        <is>
          <t>main</t>
        </is>
      </c>
      <c r="I2771" t="inlineStr">
        <is>
          <t>opened</t>
        </is>
      </c>
      <c r="J2771" t="inlineStr">
        <is>
          <t>7803753e48a366f9cdf499eb6874adcb05e75701</t>
        </is>
      </c>
      <c r="K2771">
        <f>HYPERLINK("http://gitlab.osmosys.co/talking-buddy/portal/-/merge_requests/90#note_244938", "Not yet fixed")</f>
        <v/>
      </c>
      <c r="L2771" t="inlineStr">
        <is>
          <t>2025-07-31 15:12:04.917 IST</t>
        </is>
      </c>
      <c r="M2771" t="inlineStr">
        <is>
          <t>Soundariya B</t>
        </is>
      </c>
      <c r="N2771" t="inlineStr">
        <is>
          <t>Yes</t>
        </is>
      </c>
      <c r="O2771" t="inlineStr">
        <is>
          <t>No</t>
        </is>
      </c>
      <c r="P2771" t="inlineStr"/>
      <c r="Q2771" t="inlineStr">
        <is>
          <t>Bad</t>
        </is>
      </c>
    </row>
    <row r="2772">
      <c r="A2772" t="inlineStr">
        <is>
          <t>IAM5K</t>
        </is>
      </c>
      <c r="B2772" t="inlineStr">
        <is>
          <t>Sandeep Kumar</t>
        </is>
      </c>
      <c r="C2772" t="inlineStr">
        <is>
          <t>sandeep.k@osmosys.co</t>
        </is>
      </c>
      <c r="D2772" t="inlineStr">
        <is>
          <t>talking-buddy</t>
        </is>
      </c>
      <c r="E2772">
        <f>HYPERLINK("http://gitlab.osmosys.co/talking-buddy/portal", "portal")</f>
        <v/>
      </c>
      <c r="F2772">
        <f>HYPERLINK("http://gitlab.osmosys.co/talking-buddy/portal/-/merge_requests/90", "feat: create generic support detail page")</f>
        <v/>
      </c>
      <c r="G2772" t="inlineStr">
        <is>
          <t>TKBT-534</t>
        </is>
      </c>
      <c r="H2772" t="inlineStr">
        <is>
          <t>main</t>
        </is>
      </c>
      <c r="I2772" t="inlineStr">
        <is>
          <t>opened</t>
        </is>
      </c>
      <c r="J2772" t="inlineStr">
        <is>
          <t>7803753e48a366f9cdf499eb6874adcb05e75701</t>
        </is>
      </c>
      <c r="K2772">
        <f>HYPERLINK("http://gitlab.osmosys.co/talking-buddy/portal/-/merge_requests/90#note_245027", "You "| date: 'dd-MMM-YYYY'" removed this but I want know that is that getConvertedDate function will date &amp; time as expected format and add the SS please")</f>
        <v/>
      </c>
      <c r="L2772" t="inlineStr">
        <is>
          <t>2025-07-31 15:49:27.601 IST</t>
        </is>
      </c>
      <c r="M2772" t="inlineStr">
        <is>
          <t>Soundariya B</t>
        </is>
      </c>
      <c r="N2772" t="inlineStr">
        <is>
          <t>Yes</t>
        </is>
      </c>
      <c r="O2772" t="inlineStr">
        <is>
          <t>No</t>
        </is>
      </c>
      <c r="P2772" t="inlineStr"/>
      <c r="Q2772" t="inlineStr">
        <is>
          <t>Bad</t>
        </is>
      </c>
    </row>
    <row r="2773">
      <c r="A2773" t="inlineStr">
        <is>
          <t>IAM5K</t>
        </is>
      </c>
      <c r="B2773" t="inlineStr">
        <is>
          <t>Sandeep Kumar</t>
        </is>
      </c>
      <c r="C2773" t="inlineStr">
        <is>
          <t>sandeep.k@osmosys.co</t>
        </is>
      </c>
      <c r="D2773" t="inlineStr">
        <is>
          <t>talking-buddy</t>
        </is>
      </c>
      <c r="E2773">
        <f>HYPERLINK("http://gitlab.osmosys.co/talking-buddy/portal", "portal")</f>
        <v/>
      </c>
      <c r="F2773">
        <f>HYPERLINK("http://gitlab.osmosys.co/talking-buddy/portal/-/merge_requests/90", "feat: create generic support detail page")</f>
        <v/>
      </c>
      <c r="G2773" t="inlineStr">
        <is>
          <t>TKBT-534</t>
        </is>
      </c>
      <c r="H2773" t="inlineStr">
        <is>
          <t>main</t>
        </is>
      </c>
      <c r="I2773" t="inlineStr">
        <is>
          <t>opened</t>
        </is>
      </c>
      <c r="J2773" t="inlineStr">
        <is>
          <t>937e2ca6fec0d95eb5ccc8cba2d5faff7021cf6e</t>
        </is>
      </c>
      <c r="K2773">
        <f>HYPERLINK("http://gitlab.osmosys.co/talking-buddy/portal/-/merge_requests/90#note_244560", "Time must be there, along with date please add it")</f>
        <v/>
      </c>
      <c r="L2773" t="inlineStr">
        <is>
          <t>2025-07-30 23:51:37.985 IST</t>
        </is>
      </c>
      <c r="M2773" t="inlineStr">
        <is>
          <t>Soundariya B</t>
        </is>
      </c>
      <c r="N2773" t="inlineStr">
        <is>
          <t>Yes</t>
        </is>
      </c>
      <c r="O2773" t="inlineStr">
        <is>
          <t>No</t>
        </is>
      </c>
      <c r="P2773" t="inlineStr"/>
      <c r="Q2773" t="inlineStr">
        <is>
          <t>Bad</t>
        </is>
      </c>
    </row>
    <row r="2774">
      <c r="A2774" t="inlineStr">
        <is>
          <t>IAM5K</t>
        </is>
      </c>
      <c r="B2774" t="inlineStr">
        <is>
          <t>Sandeep Kumar</t>
        </is>
      </c>
      <c r="C2774" t="inlineStr">
        <is>
          <t>sandeep.k@osmosys.co</t>
        </is>
      </c>
      <c r="D2774" t="inlineStr">
        <is>
          <t>talking-buddy</t>
        </is>
      </c>
      <c r="E2774">
        <f>HYPERLINK("http://gitlab.osmosys.co/talking-buddy/portal", "portal")</f>
        <v/>
      </c>
      <c r="F2774">
        <f>HYPERLINK("http://gitlab.osmosys.co/talking-buddy/portal/-/merge_requests/90", "feat: create generic support detail page")</f>
        <v/>
      </c>
      <c r="G2774" t="inlineStr">
        <is>
          <t>TKBT-534</t>
        </is>
      </c>
      <c r="H2774" t="inlineStr">
        <is>
          <t>main</t>
        </is>
      </c>
      <c r="I2774" t="inlineStr">
        <is>
          <t>opened</t>
        </is>
      </c>
      <c r="J2774" t="inlineStr">
        <is>
          <t>937e2ca6fec0d95eb5ccc8cba2d5faff7021cf6e</t>
        </is>
      </c>
      <c r="K2774">
        <f>HYPERLINK("http://gitlab.osmosys.co/talking-buddy/portal/-/merge_requests/90#note_244939", "Not yet fixed")</f>
        <v/>
      </c>
      <c r="L2774" t="inlineStr">
        <is>
          <t>2025-07-31 15:12:10.933 IST</t>
        </is>
      </c>
      <c r="M2774" t="inlineStr">
        <is>
          <t>Soundariya B</t>
        </is>
      </c>
      <c r="N2774" t="inlineStr">
        <is>
          <t>Yes</t>
        </is>
      </c>
      <c r="O2774" t="inlineStr">
        <is>
          <t>No</t>
        </is>
      </c>
      <c r="P2774" t="inlineStr"/>
      <c r="Q2774" t="inlineStr">
        <is>
          <t>Bad</t>
        </is>
      </c>
    </row>
    <row r="2775">
      <c r="A2775" t="inlineStr">
        <is>
          <t>IAM5K</t>
        </is>
      </c>
      <c r="B2775" t="inlineStr">
        <is>
          <t>Sandeep Kumar</t>
        </is>
      </c>
      <c r="C2775" t="inlineStr">
        <is>
          <t>sandeep.k@osmosys.co</t>
        </is>
      </c>
      <c r="D2775" t="inlineStr">
        <is>
          <t>talking-buddy</t>
        </is>
      </c>
      <c r="E2775">
        <f>HYPERLINK("http://gitlab.osmosys.co/talking-buddy/portal", "portal")</f>
        <v/>
      </c>
      <c r="F2775">
        <f>HYPERLINK("http://gitlab.osmosys.co/talking-buddy/portal/-/merge_requests/90", "feat: create generic support detail page")</f>
        <v/>
      </c>
      <c r="G2775" t="inlineStr">
        <is>
          <t>TKBT-534</t>
        </is>
      </c>
      <c r="H2775" t="inlineStr">
        <is>
          <t>main</t>
        </is>
      </c>
      <c r="I2775" t="inlineStr">
        <is>
          <t>opened</t>
        </is>
      </c>
      <c r="J2775" t="inlineStr">
        <is>
          <t>937e2ca6fec0d95eb5ccc8cba2d5faff7021cf6e</t>
        </is>
      </c>
      <c r="K2775">
        <f>HYPERLINK("http://gitlab.osmosys.co/talking-buddy/portal/-/merge_requests/90#note_245026", "You "| date: 'dd-MMM-YYYY'" removed this but I want know that is that getConvertedDate function will date &amp; time as expected format and add the SS please")</f>
        <v/>
      </c>
      <c r="L2775" t="inlineStr">
        <is>
          <t>2025-07-31 15:49:06.827 IST</t>
        </is>
      </c>
      <c r="M2775" t="inlineStr">
        <is>
          <t>Soundariya B</t>
        </is>
      </c>
      <c r="N2775" t="inlineStr">
        <is>
          <t>Yes</t>
        </is>
      </c>
      <c r="O2775" t="inlineStr">
        <is>
          <t>No</t>
        </is>
      </c>
      <c r="P2775" t="inlineStr"/>
      <c r="Q2775" t="inlineStr">
        <is>
          <t>Bad</t>
        </is>
      </c>
    </row>
    <row r="2776">
      <c r="A2776" t="inlineStr">
        <is>
          <t>IAM5K</t>
        </is>
      </c>
      <c r="B2776" t="inlineStr">
        <is>
          <t>Sandeep Kumar</t>
        </is>
      </c>
      <c r="C2776" t="inlineStr">
        <is>
          <t>sandeep.k@osmosys.co</t>
        </is>
      </c>
      <c r="D2776" t="inlineStr">
        <is>
          <t>talking-buddy</t>
        </is>
      </c>
      <c r="E2776">
        <f>HYPERLINK("http://gitlab.osmosys.co/talking-buddy/portal", "portal")</f>
        <v/>
      </c>
      <c r="F2776">
        <f>HYPERLINK("http://gitlab.osmosys.co/talking-buddy/portal/-/merge_requests/90", "feat: create generic support detail page")</f>
        <v/>
      </c>
      <c r="G2776" t="inlineStr">
        <is>
          <t>TKBT-534</t>
        </is>
      </c>
      <c r="H2776" t="inlineStr">
        <is>
          <t>main</t>
        </is>
      </c>
      <c r="I2776" t="inlineStr">
        <is>
          <t>opened</t>
        </is>
      </c>
      <c r="J2776" t="inlineStr">
        <is>
          <t>405004500acd7c14c4ae5893f4770ae300602973</t>
        </is>
      </c>
      <c r="K2776">
        <f>HYPERLINK("http://gitlab.osmosys.co/talking-buddy/portal/-/merge_requests/90#note_244561", "Same here - please ref above thread for hardcoded texts")</f>
        <v/>
      </c>
      <c r="L2776" t="inlineStr">
        <is>
          <t>2025-07-30 23:51:38.039 IST</t>
        </is>
      </c>
      <c r="M2776" t="inlineStr">
        <is>
          <t>Soundariya B</t>
        </is>
      </c>
      <c r="N2776" t="inlineStr">
        <is>
          <t>Yes</t>
        </is>
      </c>
      <c r="O2776" t="inlineStr">
        <is>
          <t>Yes</t>
        </is>
      </c>
      <c r="P2776" t="inlineStr">
        <is>
          <t>Soundariya B</t>
        </is>
      </c>
      <c r="Q2776" t="inlineStr">
        <is>
          <t>Bad</t>
        </is>
      </c>
    </row>
    <row r="2777">
      <c r="A2777" t="inlineStr">
        <is>
          <t>IAM5K</t>
        </is>
      </c>
      <c r="B2777" t="inlineStr">
        <is>
          <t>Sandeep Kumar</t>
        </is>
      </c>
      <c r="C2777" t="inlineStr">
        <is>
          <t>sandeep.k@osmosys.co</t>
        </is>
      </c>
      <c r="D2777" t="inlineStr">
        <is>
          <t>talking-buddy</t>
        </is>
      </c>
      <c r="E2777">
        <f>HYPERLINK("http://gitlab.osmosys.co/talking-buddy/portal", "portal")</f>
        <v/>
      </c>
      <c r="F2777">
        <f>HYPERLINK("http://gitlab.osmosys.co/talking-buddy/portal/-/merge_requests/90", "feat: create generic support detail page")</f>
        <v/>
      </c>
      <c r="G2777" t="inlineStr">
        <is>
          <t>TKBT-534</t>
        </is>
      </c>
      <c r="H2777" t="inlineStr">
        <is>
          <t>main</t>
        </is>
      </c>
      <c r="I2777" t="inlineStr">
        <is>
          <t>opened</t>
        </is>
      </c>
      <c r="J2777" t="inlineStr">
        <is>
          <t>405004500acd7c14c4ae5893f4770ae300602973</t>
        </is>
      </c>
      <c r="K2777">
        <f>HYPERLINK("http://gitlab.osmosys.co/talking-buddy/portal/-/merge_requests/90#note_244940", "Not yet fixed")</f>
        <v/>
      </c>
      <c r="L2777" t="inlineStr">
        <is>
          <t>2025-07-31 15:12:17.644 IST</t>
        </is>
      </c>
      <c r="M2777" t="inlineStr">
        <is>
          <t>Soundariya B</t>
        </is>
      </c>
      <c r="N2777" t="inlineStr">
        <is>
          <t>Yes</t>
        </is>
      </c>
      <c r="O2777" t="inlineStr">
        <is>
          <t>Yes</t>
        </is>
      </c>
      <c r="P2777" t="inlineStr">
        <is>
          <t>Soundariya B</t>
        </is>
      </c>
      <c r="Q2777" t="inlineStr">
        <is>
          <t>Bad</t>
        </is>
      </c>
    </row>
    <row r="2778">
      <c r="A2778" t="inlineStr">
        <is>
          <t>IAM5K</t>
        </is>
      </c>
      <c r="B2778" t="inlineStr">
        <is>
          <t>Sandeep Kumar</t>
        </is>
      </c>
      <c r="C2778" t="inlineStr">
        <is>
          <t>sandeep.k@osmosys.co</t>
        </is>
      </c>
      <c r="D2778" t="inlineStr">
        <is>
          <t>talking-buddy</t>
        </is>
      </c>
      <c r="E2778">
        <f>HYPERLINK("http://gitlab.osmosys.co/talking-buddy/portal", "portal")</f>
        <v/>
      </c>
      <c r="F2778">
        <f>HYPERLINK("http://gitlab.osmosys.co/talking-buddy/portal/-/merge_requests/90", "feat: create generic support detail page")</f>
        <v/>
      </c>
      <c r="G2778" t="inlineStr">
        <is>
          <t>TKBT-534</t>
        </is>
      </c>
      <c r="H2778" t="inlineStr">
        <is>
          <t>main</t>
        </is>
      </c>
      <c r="I2778" t="inlineStr">
        <is>
          <t>opened</t>
        </is>
      </c>
      <c r="J2778" t="inlineStr">
        <is>
          <t>405004500acd7c14c4ae5893f4770ae300602973</t>
        </is>
      </c>
      <c r="K2778">
        <f>HYPERLINK("http://gitlab.osmosys.co/talking-buddy/portal/-/merge_requests/90#note_245023", "Ok changes are reflecting now and its fine")</f>
        <v/>
      </c>
      <c r="L2778" t="inlineStr">
        <is>
          <t>2025-07-31 15:47:07.106 IST</t>
        </is>
      </c>
      <c r="M2778" t="inlineStr">
        <is>
          <t>Soundariya B</t>
        </is>
      </c>
      <c r="N2778" t="inlineStr">
        <is>
          <t>Yes</t>
        </is>
      </c>
      <c r="O2778" t="inlineStr">
        <is>
          <t>Yes</t>
        </is>
      </c>
      <c r="P2778" t="inlineStr">
        <is>
          <t>Soundariya B</t>
        </is>
      </c>
      <c r="Q2778" t="inlineStr">
        <is>
          <t>Bad</t>
        </is>
      </c>
    </row>
    <row r="2779">
      <c r="A2779" t="inlineStr">
        <is>
          <t>IAM5K</t>
        </is>
      </c>
      <c r="B2779" t="inlineStr">
        <is>
          <t>Sandeep Kumar</t>
        </is>
      </c>
      <c r="C2779" t="inlineStr">
        <is>
          <t>sandeep.k@osmosys.co</t>
        </is>
      </c>
      <c r="D2779" t="inlineStr">
        <is>
          <t>talking-buddy</t>
        </is>
      </c>
      <c r="E2779">
        <f>HYPERLINK("http://gitlab.osmosys.co/talking-buddy/portal", "portal")</f>
        <v/>
      </c>
      <c r="F2779">
        <f>HYPERLINK("http://gitlab.osmosys.co/talking-buddy/portal/-/merge_requests/90", "feat: create generic support detail page")</f>
        <v/>
      </c>
      <c r="G2779" t="inlineStr">
        <is>
          <t>TKBT-534</t>
        </is>
      </c>
      <c r="H2779" t="inlineStr">
        <is>
          <t>main</t>
        </is>
      </c>
      <c r="I2779" t="inlineStr">
        <is>
          <t>opened</t>
        </is>
      </c>
      <c r="J2779" t="inlineStr">
        <is>
          <t>405004500acd7c14c4ae5893f4770ae300602973</t>
        </is>
      </c>
      <c r="K2779">
        <f>HYPERLINK("http://gitlab.osmosys.co/talking-buddy/portal/-/merge_requests/90#note_245024", "Ok changes are reflecting now and its fine")</f>
        <v/>
      </c>
      <c r="L2779" t="inlineStr">
        <is>
          <t>2025-07-31 15:47:13.613 IST</t>
        </is>
      </c>
      <c r="M2779" t="inlineStr">
        <is>
          <t>Soundariya B</t>
        </is>
      </c>
      <c r="N2779" t="inlineStr">
        <is>
          <t>Yes</t>
        </is>
      </c>
      <c r="O2779" t="inlineStr">
        <is>
          <t>Yes</t>
        </is>
      </c>
      <c r="P2779" t="inlineStr">
        <is>
          <t>Soundariya B</t>
        </is>
      </c>
      <c r="Q2779" t="inlineStr">
        <is>
          <t>Bad</t>
        </is>
      </c>
    </row>
    <row r="2780">
      <c r="A2780" t="inlineStr">
        <is>
          <t>IAM5K</t>
        </is>
      </c>
      <c r="B2780" t="inlineStr">
        <is>
          <t>Sandeep Kumar</t>
        </is>
      </c>
      <c r="C2780" t="inlineStr">
        <is>
          <t>sandeep.k@osmosys.co</t>
        </is>
      </c>
      <c r="D2780" t="inlineStr">
        <is>
          <t>talking-buddy</t>
        </is>
      </c>
      <c r="E2780">
        <f>HYPERLINK("http://gitlab.osmosys.co/talking-buddy/portal", "portal")</f>
        <v/>
      </c>
      <c r="F2780">
        <f>HYPERLINK("http://gitlab.osmosys.co/talking-buddy/portal/-/merge_requests/90", "feat: create generic support detail page")</f>
        <v/>
      </c>
      <c r="G2780" t="inlineStr">
        <is>
          <t>TKBT-534</t>
        </is>
      </c>
      <c r="H2780" t="inlineStr">
        <is>
          <t>main</t>
        </is>
      </c>
      <c r="I2780" t="inlineStr">
        <is>
          <t>opened</t>
        </is>
      </c>
      <c r="J2780" t="inlineStr">
        <is>
          <t>134afe6fd68d6c805211b82206c5d5d08011b77b</t>
        </is>
      </c>
      <c r="K2780">
        <f>HYPERLINK("http://gitlab.osmosys.co/talking-buddy/portal/-/merge_requests/90#note_244562", "Same here - please ref above thread for hardcoded texts")</f>
        <v/>
      </c>
      <c r="L2780" t="inlineStr">
        <is>
          <t>2025-07-30 23:51:38.095 IST</t>
        </is>
      </c>
      <c r="M2780" t="inlineStr">
        <is>
          <t>Soundariya B</t>
        </is>
      </c>
      <c r="N2780" t="inlineStr">
        <is>
          <t>Yes</t>
        </is>
      </c>
      <c r="O2780" t="inlineStr">
        <is>
          <t>No</t>
        </is>
      </c>
      <c r="P2780" t="inlineStr"/>
      <c r="Q2780" t="inlineStr">
        <is>
          <t>Bad</t>
        </is>
      </c>
    </row>
    <row r="2781">
      <c r="A2781" t="inlineStr">
        <is>
          <t>IAM5K</t>
        </is>
      </c>
      <c r="B2781" t="inlineStr">
        <is>
          <t>Sandeep Kumar</t>
        </is>
      </c>
      <c r="C2781" t="inlineStr">
        <is>
          <t>sandeep.k@osmosys.co</t>
        </is>
      </c>
      <c r="D2781" t="inlineStr">
        <is>
          <t>talking-buddy</t>
        </is>
      </c>
      <c r="E2781">
        <f>HYPERLINK("http://gitlab.osmosys.co/talking-buddy/portal", "portal")</f>
        <v/>
      </c>
      <c r="F2781">
        <f>HYPERLINK("http://gitlab.osmosys.co/talking-buddy/portal/-/merge_requests/90", "feat: create generic support detail page")</f>
        <v/>
      </c>
      <c r="G2781" t="inlineStr">
        <is>
          <t>TKBT-534</t>
        </is>
      </c>
      <c r="H2781" t="inlineStr">
        <is>
          <t>main</t>
        </is>
      </c>
      <c r="I2781" t="inlineStr">
        <is>
          <t>opened</t>
        </is>
      </c>
      <c r="J2781" t="inlineStr">
        <is>
          <t>134afe6fd68d6c805211b82206c5d5d08011b77b</t>
        </is>
      </c>
      <c r="K2781">
        <f>HYPERLINK("http://gitlab.osmosys.co/talking-buddy/portal/-/merge_requests/90#note_244941", "Not yet fixed")</f>
        <v/>
      </c>
      <c r="L2781" t="inlineStr">
        <is>
          <t>2025-07-31 15:12:22.884 IST</t>
        </is>
      </c>
      <c r="M2781" t="inlineStr">
        <is>
          <t>Soundariya B</t>
        </is>
      </c>
      <c r="N2781" t="inlineStr">
        <is>
          <t>Yes</t>
        </is>
      </c>
      <c r="O2781" t="inlineStr">
        <is>
          <t>No</t>
        </is>
      </c>
      <c r="P2781" t="inlineStr"/>
      <c r="Q2781" t="inlineStr">
        <is>
          <t>Bad</t>
        </is>
      </c>
    </row>
    <row r="2782">
      <c r="A2782" t="inlineStr">
        <is>
          <t>IAM5K</t>
        </is>
      </c>
      <c r="B2782" t="inlineStr">
        <is>
          <t>Sandeep Kumar</t>
        </is>
      </c>
      <c r="C2782" t="inlineStr">
        <is>
          <t>sandeep.k@osmosys.co</t>
        </is>
      </c>
      <c r="D2782" t="inlineStr">
        <is>
          <t>talking-buddy</t>
        </is>
      </c>
      <c r="E2782">
        <f>HYPERLINK("http://gitlab.osmosys.co/talking-buddy/portal", "portal")</f>
        <v/>
      </c>
      <c r="F2782">
        <f>HYPERLINK("http://gitlab.osmosys.co/talking-buddy/portal/-/merge_requests/90", "feat: create generic support detail page")</f>
        <v/>
      </c>
      <c r="G2782" t="inlineStr">
        <is>
          <t>TKBT-534</t>
        </is>
      </c>
      <c r="H2782" t="inlineStr">
        <is>
          <t>main</t>
        </is>
      </c>
      <c r="I2782" t="inlineStr">
        <is>
          <t>opened</t>
        </is>
      </c>
      <c r="J2782" t="inlineStr">
        <is>
          <t>9f650bcbb3aaabd58bffa09a282c558ce1d67106</t>
        </is>
      </c>
      <c r="K2782">
        <f>HYPERLINK("http://gitlab.osmosys.co/talking-buddy/portal/-/merge_requests/90#note_244563", "It should be #disputeComment="ngModel"")</f>
        <v/>
      </c>
      <c r="L2782" t="inlineStr">
        <is>
          <t>2025-07-30 23:51:38.150 IST</t>
        </is>
      </c>
      <c r="M2782" t="inlineStr">
        <is>
          <t>Soundariya B</t>
        </is>
      </c>
      <c r="N2782" t="inlineStr">
        <is>
          <t>Yes</t>
        </is>
      </c>
      <c r="O2782" t="inlineStr">
        <is>
          <t>No</t>
        </is>
      </c>
      <c r="P2782" t="inlineStr"/>
      <c r="Q2782" t="inlineStr">
        <is>
          <t>Bad</t>
        </is>
      </c>
    </row>
    <row r="2783">
      <c r="A2783" t="inlineStr">
        <is>
          <t>IAM5K</t>
        </is>
      </c>
      <c r="B2783" t="inlineStr">
        <is>
          <t>Sandeep Kumar</t>
        </is>
      </c>
      <c r="C2783" t="inlineStr">
        <is>
          <t>sandeep.k@osmosys.co</t>
        </is>
      </c>
      <c r="D2783" t="inlineStr">
        <is>
          <t>talking-buddy</t>
        </is>
      </c>
      <c r="E2783">
        <f>HYPERLINK("http://gitlab.osmosys.co/talking-buddy/portal", "portal")</f>
        <v/>
      </c>
      <c r="F2783">
        <f>HYPERLINK("http://gitlab.osmosys.co/talking-buddy/portal/-/merge_requests/90", "feat: create generic support detail page")</f>
        <v/>
      </c>
      <c r="G2783" t="inlineStr">
        <is>
          <t>TKBT-534</t>
        </is>
      </c>
      <c r="H2783" t="inlineStr">
        <is>
          <t>main</t>
        </is>
      </c>
      <c r="I2783" t="inlineStr">
        <is>
          <t>opened</t>
        </is>
      </c>
      <c r="J2783" t="inlineStr">
        <is>
          <t>9f650bcbb3aaabd58bffa09a282c558ce1d67106</t>
        </is>
      </c>
      <c r="K2783">
        <f>HYPERLINK("http://gitlab.osmosys.co/talking-buddy/portal/-/merge_requests/90#note_244942", "Not yet fixed")</f>
        <v/>
      </c>
      <c r="L2783" t="inlineStr">
        <is>
          <t>2025-07-31 15:12:29.370 IST</t>
        </is>
      </c>
      <c r="M2783" t="inlineStr">
        <is>
          <t>Soundariya B</t>
        </is>
      </c>
      <c r="N2783" t="inlineStr">
        <is>
          <t>Yes</t>
        </is>
      </c>
      <c r="O2783" t="inlineStr">
        <is>
          <t>No</t>
        </is>
      </c>
      <c r="P2783" t="inlineStr"/>
      <c r="Q2783" t="inlineStr">
        <is>
          <t>Bad</t>
        </is>
      </c>
    </row>
    <row r="2784">
      <c r="A2784" t="inlineStr">
        <is>
          <t>IAM5K</t>
        </is>
      </c>
      <c r="B2784" t="inlineStr">
        <is>
          <t>Sandeep Kumar</t>
        </is>
      </c>
      <c r="C2784" t="inlineStr">
        <is>
          <t>sandeep.k@osmosys.co</t>
        </is>
      </c>
      <c r="D2784" t="inlineStr">
        <is>
          <t>talking-buddy</t>
        </is>
      </c>
      <c r="E2784">
        <f>HYPERLINK("http://gitlab.osmosys.co/talking-buddy/portal", "portal")</f>
        <v/>
      </c>
      <c r="F2784">
        <f>HYPERLINK("http://gitlab.osmosys.co/talking-buddy/portal/-/merge_requests/90", "feat: create generic support detail page")</f>
        <v/>
      </c>
      <c r="G2784" t="inlineStr">
        <is>
          <t>TKBT-534</t>
        </is>
      </c>
      <c r="H2784" t="inlineStr">
        <is>
          <t>main</t>
        </is>
      </c>
      <c r="I2784" t="inlineStr">
        <is>
          <t>opened</t>
        </is>
      </c>
      <c r="J2784" t="inlineStr">
        <is>
          <t>5db66c1101f5d9cc3c79751c24ebefc409a846b6</t>
        </is>
      </c>
      <c r="K2784">
        <f>HYPERLINK("http://gitlab.osmosys.co/talking-buddy/portal/-/merge_requests/90#note_244564", "It should be btn-custom-green")</f>
        <v/>
      </c>
      <c r="L2784" t="inlineStr">
        <is>
          <t>2025-07-30 23:51:38.220 IST</t>
        </is>
      </c>
      <c r="M2784" t="inlineStr">
        <is>
          <t>Soundariya B</t>
        </is>
      </c>
      <c r="N2784" t="inlineStr">
        <is>
          <t>Yes</t>
        </is>
      </c>
      <c r="O2784" t="inlineStr">
        <is>
          <t>Yes</t>
        </is>
      </c>
      <c r="P2784" t="inlineStr">
        <is>
          <t>Soundariya B</t>
        </is>
      </c>
      <c r="Q2784" t="inlineStr">
        <is>
          <t>Bad</t>
        </is>
      </c>
    </row>
    <row r="2785">
      <c r="A2785" t="inlineStr">
        <is>
          <t>IAM5K</t>
        </is>
      </c>
      <c r="B2785" t="inlineStr">
        <is>
          <t>Sandeep Kumar</t>
        </is>
      </c>
      <c r="C2785" t="inlineStr">
        <is>
          <t>sandeep.k@osmosys.co</t>
        </is>
      </c>
      <c r="D2785" t="inlineStr">
        <is>
          <t>talking-buddy</t>
        </is>
      </c>
      <c r="E2785">
        <f>HYPERLINK("http://gitlab.osmosys.co/talking-buddy/portal", "portal")</f>
        <v/>
      </c>
      <c r="F2785">
        <f>HYPERLINK("http://gitlab.osmosys.co/talking-buddy/portal/-/merge_requests/90", "feat: create generic support detail page")</f>
        <v/>
      </c>
      <c r="G2785" t="inlineStr">
        <is>
          <t>TKBT-534</t>
        </is>
      </c>
      <c r="H2785" t="inlineStr">
        <is>
          <t>main</t>
        </is>
      </c>
      <c r="I2785" t="inlineStr">
        <is>
          <t>opened</t>
        </is>
      </c>
      <c r="J2785" t="inlineStr">
        <is>
          <t>5db66c1101f5d9cc3c79751c24ebefc409a846b6</t>
        </is>
      </c>
      <c r="K2785">
        <f>HYPERLINK("http://gitlab.osmosys.co/talking-buddy/portal/-/merge_requests/90#note_244943", "Not yet fixed")</f>
        <v/>
      </c>
      <c r="L2785" t="inlineStr">
        <is>
          <t>2025-07-31 15:12:34.339 IST</t>
        </is>
      </c>
      <c r="M2785" t="inlineStr">
        <is>
          <t>Soundariya B</t>
        </is>
      </c>
      <c r="N2785" t="inlineStr">
        <is>
          <t>Yes</t>
        </is>
      </c>
      <c r="O2785" t="inlineStr">
        <is>
          <t>Yes</t>
        </is>
      </c>
      <c r="P2785" t="inlineStr">
        <is>
          <t>Soundariya B</t>
        </is>
      </c>
      <c r="Q2785" t="inlineStr">
        <is>
          <t>Bad</t>
        </is>
      </c>
    </row>
    <row r="2786">
      <c r="A2786" t="inlineStr">
        <is>
          <t>IAM5K</t>
        </is>
      </c>
      <c r="B2786" t="inlineStr">
        <is>
          <t>Sandeep Kumar</t>
        </is>
      </c>
      <c r="C2786" t="inlineStr">
        <is>
          <t>sandeep.k@osmosys.co</t>
        </is>
      </c>
      <c r="D2786" t="inlineStr">
        <is>
          <t>talking-buddy</t>
        </is>
      </c>
      <c r="E2786">
        <f>HYPERLINK("http://gitlab.osmosys.co/talking-buddy/portal", "portal")</f>
        <v/>
      </c>
      <c r="F2786">
        <f>HYPERLINK("http://gitlab.osmosys.co/talking-buddy/portal/-/merge_requests/90", "feat: create generic support detail page")</f>
        <v/>
      </c>
      <c r="G2786" t="inlineStr">
        <is>
          <t>TKBT-534</t>
        </is>
      </c>
      <c r="H2786" t="inlineStr">
        <is>
          <t>main</t>
        </is>
      </c>
      <c r="I2786" t="inlineStr">
        <is>
          <t>opened</t>
        </is>
      </c>
      <c r="J2786" t="inlineStr">
        <is>
          <t>0989a5fbf369d7a65b83048105a37f2af573a953</t>
        </is>
      </c>
      <c r="K2786">
        <f>HYPERLINK("http://gitlab.osmosys.co/talking-buddy/portal/-/merge_requests/90#note_244565", "Colspan should be 7 isn't it?")</f>
        <v/>
      </c>
      <c r="L2786" t="inlineStr">
        <is>
          <t>2025-07-30 23:51:38.275 IST</t>
        </is>
      </c>
      <c r="M2786" t="inlineStr">
        <is>
          <t>Soundariya B</t>
        </is>
      </c>
      <c r="N2786" t="inlineStr">
        <is>
          <t>Yes</t>
        </is>
      </c>
      <c r="O2786" t="inlineStr">
        <is>
          <t>Yes</t>
        </is>
      </c>
      <c r="P2786" t="inlineStr">
        <is>
          <t>Soundariya B</t>
        </is>
      </c>
      <c r="Q2786" t="inlineStr">
        <is>
          <t>Bad</t>
        </is>
      </c>
    </row>
    <row r="2787">
      <c r="A2787" t="inlineStr">
        <is>
          <t>IAM5K</t>
        </is>
      </c>
      <c r="B2787" t="inlineStr">
        <is>
          <t>Sandeep Kumar</t>
        </is>
      </c>
      <c r="C2787" t="inlineStr">
        <is>
          <t>sandeep.k@osmosys.co</t>
        </is>
      </c>
      <c r="D2787" t="inlineStr">
        <is>
          <t>talking-buddy</t>
        </is>
      </c>
      <c r="E2787">
        <f>HYPERLINK("http://gitlab.osmosys.co/talking-buddy/portal", "portal")</f>
        <v/>
      </c>
      <c r="F2787">
        <f>HYPERLINK("http://gitlab.osmosys.co/talking-buddy/portal/-/merge_requests/90", "feat: create generic support detail page")</f>
        <v/>
      </c>
      <c r="G2787" t="inlineStr">
        <is>
          <t>TKBT-534</t>
        </is>
      </c>
      <c r="H2787" t="inlineStr">
        <is>
          <t>main</t>
        </is>
      </c>
      <c r="I2787" t="inlineStr">
        <is>
          <t>opened</t>
        </is>
      </c>
      <c r="J2787" t="inlineStr">
        <is>
          <t>0989a5fbf369d7a65b83048105a37f2af573a953</t>
        </is>
      </c>
      <c r="K2787">
        <f>HYPERLINK("http://gitlab.osmosys.co/talking-buddy/portal/-/merge_requests/90#note_244628", "The table only has 2 columns (label and value) in every row, so colspan should be 2. Setting it to 7 would not match the table structure and would break the layout.
Updating the colspan to 2")</f>
        <v/>
      </c>
      <c r="L2787" t="inlineStr">
        <is>
          <t>2025-07-31 10:30:26.244 IST</t>
        </is>
      </c>
      <c r="M2787" t="inlineStr">
        <is>
          <t>Sandeep Kumar</t>
        </is>
      </c>
      <c r="N2787" t="inlineStr">
        <is>
          <t>No</t>
        </is>
      </c>
      <c r="O2787" t="inlineStr">
        <is>
          <t>Yes</t>
        </is>
      </c>
      <c r="P2787" t="inlineStr">
        <is>
          <t>Soundariya B</t>
        </is>
      </c>
      <c r="Q2787" t="inlineStr">
        <is>
          <t>Bad</t>
        </is>
      </c>
    </row>
    <row r="2788">
      <c r="A2788" t="inlineStr">
        <is>
          <t>IAM5K</t>
        </is>
      </c>
      <c r="B2788" t="inlineStr">
        <is>
          <t>Sandeep Kumar</t>
        </is>
      </c>
      <c r="C2788" t="inlineStr">
        <is>
          <t>sandeep.k@osmosys.co</t>
        </is>
      </c>
      <c r="D2788" t="inlineStr">
        <is>
          <t>talking-buddy</t>
        </is>
      </c>
      <c r="E2788">
        <f>HYPERLINK("http://gitlab.osmosys.co/talking-buddy/portal", "portal")</f>
        <v/>
      </c>
      <c r="F2788">
        <f>HYPERLINK("http://gitlab.osmosys.co/talking-buddy/portal/-/merge_requests/90", "feat: create generic support detail page")</f>
        <v/>
      </c>
      <c r="G2788" t="inlineStr">
        <is>
          <t>TKBT-534</t>
        </is>
      </c>
      <c r="H2788" t="inlineStr">
        <is>
          <t>main</t>
        </is>
      </c>
      <c r="I2788" t="inlineStr">
        <is>
          <t>opened</t>
        </is>
      </c>
      <c r="J2788" t="inlineStr">
        <is>
          <t>0989a5fbf369d7a65b83048105a37f2af573a953</t>
        </is>
      </c>
      <c r="K2788">
        <f>HYPERLINK("http://gitlab.osmosys.co/talking-buddy/portal/-/merge_requests/90#note_244944", "Ok but the changes are not reflecting please check once again and push the code")</f>
        <v/>
      </c>
      <c r="L2788" t="inlineStr">
        <is>
          <t>2025-07-31 15:13:55.767 IST</t>
        </is>
      </c>
      <c r="M2788" t="inlineStr">
        <is>
          <t>Soundariya B</t>
        </is>
      </c>
      <c r="N2788" t="inlineStr">
        <is>
          <t>Yes</t>
        </is>
      </c>
      <c r="O2788" t="inlineStr">
        <is>
          <t>Yes</t>
        </is>
      </c>
      <c r="P2788" t="inlineStr">
        <is>
          <t>Soundariya B</t>
        </is>
      </c>
      <c r="Q2788" t="inlineStr">
        <is>
          <t>Bad</t>
        </is>
      </c>
    </row>
    <row r="2789">
      <c r="A2789" t="inlineStr">
        <is>
          <t>IAM5K</t>
        </is>
      </c>
      <c r="B2789" t="inlineStr">
        <is>
          <t>Sandeep Kumar</t>
        </is>
      </c>
      <c r="C2789" t="inlineStr">
        <is>
          <t>sandeep.k@osmosys.co</t>
        </is>
      </c>
      <c r="D2789" t="inlineStr">
        <is>
          <t>talking-buddy</t>
        </is>
      </c>
      <c r="E2789">
        <f>HYPERLINK("http://gitlab.osmosys.co/talking-buddy/portal", "portal")</f>
        <v/>
      </c>
      <c r="F2789">
        <f>HYPERLINK("http://gitlab.osmosys.co/talking-buddy/portal/-/merge_requests/90", "feat: create generic support detail page")</f>
        <v/>
      </c>
      <c r="G2789" t="inlineStr">
        <is>
          <t>TKBT-534</t>
        </is>
      </c>
      <c r="H2789" t="inlineStr">
        <is>
          <t>main</t>
        </is>
      </c>
      <c r="I2789" t="inlineStr">
        <is>
          <t>opened</t>
        </is>
      </c>
      <c r="J2789" t="inlineStr">
        <is>
          <t>200d026ccf9af0badba5a1d14f8f9430f08ab88e</t>
        </is>
      </c>
      <c r="K2789">
        <f>HYPERLINK("http://gitlab.osmosys.co/talking-buddy/portal/-/merge_requests/90#note_244566", "Id never uses hypen as per standards classname can only use hypens which is recommended please fix it.")</f>
        <v/>
      </c>
      <c r="L2789" t="inlineStr">
        <is>
          <t>2025-07-30 23:51:38.327 IST</t>
        </is>
      </c>
      <c r="M2789" t="inlineStr">
        <is>
          <t>Soundariya B</t>
        </is>
      </c>
      <c r="N2789" t="inlineStr">
        <is>
          <t>Yes</t>
        </is>
      </c>
      <c r="O2789" t="inlineStr">
        <is>
          <t>Yes</t>
        </is>
      </c>
      <c r="P2789" t="inlineStr">
        <is>
          <t>Soundariya B</t>
        </is>
      </c>
      <c r="Q2789" t="inlineStr">
        <is>
          <t>Neutral</t>
        </is>
      </c>
    </row>
    <row r="2790">
      <c r="A2790" t="inlineStr">
        <is>
          <t>IAM5K</t>
        </is>
      </c>
      <c r="B2790" t="inlineStr">
        <is>
          <t>Sandeep Kumar</t>
        </is>
      </c>
      <c r="C2790" t="inlineStr">
        <is>
          <t>sandeep.k@osmosys.co</t>
        </is>
      </c>
      <c r="D2790" t="inlineStr">
        <is>
          <t>talking-buddy</t>
        </is>
      </c>
      <c r="E2790">
        <f>HYPERLINK("http://gitlab.osmosys.co/talking-buddy/portal", "portal")</f>
        <v/>
      </c>
      <c r="F2790">
        <f>HYPERLINK("http://gitlab.osmosys.co/talking-buddy/portal/-/merge_requests/90", "feat: create generic support detail page")</f>
        <v/>
      </c>
      <c r="G2790" t="inlineStr">
        <is>
          <t>TKBT-534</t>
        </is>
      </c>
      <c r="H2790" t="inlineStr">
        <is>
          <t>main</t>
        </is>
      </c>
      <c r="I2790" t="inlineStr">
        <is>
          <t>opened</t>
        </is>
      </c>
      <c r="J2790" t="inlineStr">
        <is>
          <t>200d026ccf9af0badba5a1d14f8f9430f08ab88e</t>
        </is>
      </c>
      <c r="K2790">
        <f>HYPERLINK("http://gitlab.osmosys.co/talking-buddy/portal/-/merge_requests/90#note_244624", "![image](/uploads/dadc6be158bd134bf40895d9e9fcf8d6/image.png){width=1081 height=703}
[Code_style_guide/HTML](https://developer.mozilla.org/en-US/docs/MDN/Writing_guidelines/Code_style_guide/HTML)
I believe we need to rethink if we are using the right standards. Please refer to Mozilla Standards that are recognised and considered throughout the world. As it says **"Don't use camel case."** Id never uses hyphen would be a wrong statement.
@anand.p @RajKumar 
Let me know the final verdict for action.")</f>
        <v/>
      </c>
      <c r="L2790" t="inlineStr">
        <is>
          <t>2025-07-31 10:20:43.004 IST</t>
        </is>
      </c>
      <c r="M2790" t="inlineStr">
        <is>
          <t>Sandeep Kumar</t>
        </is>
      </c>
      <c r="N2790" t="inlineStr">
        <is>
          <t>No</t>
        </is>
      </c>
      <c r="O2790" t="inlineStr">
        <is>
          <t>Yes</t>
        </is>
      </c>
      <c r="P2790" t="inlineStr">
        <is>
          <t>Soundariya B</t>
        </is>
      </c>
      <c r="Q2790" t="inlineStr">
        <is>
          <t>Neutral</t>
        </is>
      </c>
    </row>
    <row r="2791">
      <c r="A2791" t="inlineStr">
        <is>
          <t>IAM5K</t>
        </is>
      </c>
      <c r="B2791" t="inlineStr">
        <is>
          <t>Sandeep Kumar</t>
        </is>
      </c>
      <c r="C2791" t="inlineStr">
        <is>
          <t>sandeep.k@osmosys.co</t>
        </is>
      </c>
      <c r="D2791" t="inlineStr">
        <is>
          <t>talking-buddy</t>
        </is>
      </c>
      <c r="E2791">
        <f>HYPERLINK("http://gitlab.osmosys.co/talking-buddy/portal", "portal")</f>
        <v/>
      </c>
      <c r="F2791">
        <f>HYPERLINK("http://gitlab.osmosys.co/talking-buddy/portal/-/merge_requests/90", "feat: create generic support detail page")</f>
        <v/>
      </c>
      <c r="G2791" t="inlineStr">
        <is>
          <t>TKBT-534</t>
        </is>
      </c>
      <c r="H2791" t="inlineStr">
        <is>
          <t>main</t>
        </is>
      </c>
      <c r="I2791" t="inlineStr">
        <is>
          <t>opened</t>
        </is>
      </c>
      <c r="J2791" t="inlineStr">
        <is>
          <t>200d026ccf9af0badba5a1d14f8f9430f08ab88e</t>
        </is>
      </c>
      <c r="K2791">
        <f>HYPERLINK("http://gitlab.osmosys.co/talking-buddy/portal/-/merge_requests/90#note_244974", "Agreed to resolving this thread.")</f>
        <v/>
      </c>
      <c r="L2791" t="inlineStr">
        <is>
          <t>2025-07-31 15:25:50.733 IST</t>
        </is>
      </c>
      <c r="M2791" t="inlineStr">
        <is>
          <t>Soundariya B</t>
        </is>
      </c>
      <c r="N2791" t="inlineStr">
        <is>
          <t>Yes</t>
        </is>
      </c>
      <c r="O2791" t="inlineStr">
        <is>
          <t>Yes</t>
        </is>
      </c>
      <c r="P2791" t="inlineStr">
        <is>
          <t>Soundariya B</t>
        </is>
      </c>
      <c r="Q2791" t="inlineStr">
        <is>
          <t>Neutral</t>
        </is>
      </c>
    </row>
    <row r="2792">
      <c r="A2792" t="inlineStr">
        <is>
          <t>IAM5K</t>
        </is>
      </c>
      <c r="B2792" t="inlineStr">
        <is>
          <t>Sandeep Kumar</t>
        </is>
      </c>
      <c r="C2792" t="inlineStr">
        <is>
          <t>sandeep.k@osmosys.co</t>
        </is>
      </c>
      <c r="D2792" t="inlineStr">
        <is>
          <t>talking-buddy</t>
        </is>
      </c>
      <c r="E2792">
        <f>HYPERLINK("http://gitlab.osmosys.co/talking-buddy/portal", "portal")</f>
        <v/>
      </c>
      <c r="F2792">
        <f>HYPERLINK("http://gitlab.osmosys.co/talking-buddy/portal/-/merge_requests/90", "feat: create generic support detail page")</f>
        <v/>
      </c>
      <c r="G2792" t="inlineStr">
        <is>
          <t>TKBT-534</t>
        </is>
      </c>
      <c r="H2792" t="inlineStr">
        <is>
          <t>main</t>
        </is>
      </c>
      <c r="I2792" t="inlineStr">
        <is>
          <t>opened</t>
        </is>
      </c>
      <c r="J2792" t="inlineStr">
        <is>
          <t>8b23d5528d491507d52dc86cb8c4e97354ed385e</t>
        </is>
      </c>
      <c r="K2792">
        <f>HYPERLINK("http://gitlab.osmosys.co/talking-buddy/portal/-/merge_requests/90#note_244567", "As this classname already using for id and for attribute then you can use something like this - user-comments-section")</f>
        <v/>
      </c>
      <c r="L2792" t="inlineStr">
        <is>
          <t>2025-07-30 23:51:38.393 IST</t>
        </is>
      </c>
      <c r="M2792" t="inlineStr">
        <is>
          <t>Soundariya B</t>
        </is>
      </c>
      <c r="N2792" t="inlineStr">
        <is>
          <t>Yes</t>
        </is>
      </c>
      <c r="O2792" t="inlineStr">
        <is>
          <t>Yes</t>
        </is>
      </c>
      <c r="P2792" t="inlineStr">
        <is>
          <t>Soundariya B</t>
        </is>
      </c>
      <c r="Q2792" t="inlineStr">
        <is>
          <t>Bad</t>
        </is>
      </c>
    </row>
    <row r="2793">
      <c r="A2793" t="inlineStr">
        <is>
          <t>IAM5K</t>
        </is>
      </c>
      <c r="B2793" t="inlineStr">
        <is>
          <t>Sandeep Kumar</t>
        </is>
      </c>
      <c r="C2793" t="inlineStr">
        <is>
          <t>sandeep.k@osmosys.co</t>
        </is>
      </c>
      <c r="D2793" t="inlineStr">
        <is>
          <t>talking-buddy</t>
        </is>
      </c>
      <c r="E2793">
        <f>HYPERLINK("http://gitlab.osmosys.co/talking-buddy/portal", "portal")</f>
        <v/>
      </c>
      <c r="F2793">
        <f>HYPERLINK("http://gitlab.osmosys.co/talking-buddy/portal/-/merge_requests/90", "feat: create generic support detail page")</f>
        <v/>
      </c>
      <c r="G2793" t="inlineStr">
        <is>
          <t>TKBT-534</t>
        </is>
      </c>
      <c r="H2793" t="inlineStr">
        <is>
          <t>main</t>
        </is>
      </c>
      <c r="I2793" t="inlineStr">
        <is>
          <t>opened</t>
        </is>
      </c>
      <c r="J2793" t="inlineStr">
        <is>
          <t>8b23d5528d491507d52dc86cb8c4e97354ed385e</t>
        </is>
      </c>
      <c r="K2793">
        <f>HYPERLINK("http://gitlab.osmosys.co/talking-buddy/portal/-/merge_requests/90#note_244622", "Please elaborate with names")</f>
        <v/>
      </c>
      <c r="L2793" t="inlineStr">
        <is>
          <t>2025-07-31 10:08:12.887 IST</t>
        </is>
      </c>
      <c r="M2793" t="inlineStr">
        <is>
          <t>Sandeep Kumar</t>
        </is>
      </c>
      <c r="N2793" t="inlineStr">
        <is>
          <t>No</t>
        </is>
      </c>
      <c r="O2793" t="inlineStr">
        <is>
          <t>Yes</t>
        </is>
      </c>
      <c r="P2793" t="inlineStr">
        <is>
          <t>Soundariya B</t>
        </is>
      </c>
      <c r="Q2793" t="inlineStr">
        <is>
          <t>Bad</t>
        </is>
      </c>
    </row>
    <row r="2794">
      <c r="A2794" t="inlineStr">
        <is>
          <t>IAM5K</t>
        </is>
      </c>
      <c r="B2794" t="inlineStr">
        <is>
          <t>Sandeep Kumar</t>
        </is>
      </c>
      <c r="C2794" t="inlineStr">
        <is>
          <t>sandeep.k@osmosys.co</t>
        </is>
      </c>
      <c r="D2794" t="inlineStr">
        <is>
          <t>talking-buddy</t>
        </is>
      </c>
      <c r="E2794">
        <f>HYPERLINK("http://gitlab.osmosys.co/talking-buddy/portal", "portal")</f>
        <v/>
      </c>
      <c r="F2794">
        <f>HYPERLINK("http://gitlab.osmosys.co/talking-buddy/portal/-/merge_requests/90", "feat: create generic support detail page")</f>
        <v/>
      </c>
      <c r="G2794" t="inlineStr">
        <is>
          <t>TKBT-534</t>
        </is>
      </c>
      <c r="H2794" t="inlineStr">
        <is>
          <t>main</t>
        </is>
      </c>
      <c r="I2794" t="inlineStr">
        <is>
          <t>opened</t>
        </is>
      </c>
      <c r="J2794" t="inlineStr">
        <is>
          <t>8b23d5528d491507d52dc86cb8c4e97354ed385e</t>
        </is>
      </c>
      <c r="K2794">
        <f>HYPERLINK("http://gitlab.osmosys.co/talking-buddy/portal/-/merge_requests/90#note_244945", "The same classname 'user-comments' using for id and for attribute of the label tag so please use something different which suits better for this div.")</f>
        <v/>
      </c>
      <c r="L2794" t="inlineStr">
        <is>
          <t>2025-07-31 15:15:03.959 IST</t>
        </is>
      </c>
      <c r="M2794" t="inlineStr">
        <is>
          <t>Soundariya B</t>
        </is>
      </c>
      <c r="N2794" t="inlineStr">
        <is>
          <t>Yes</t>
        </is>
      </c>
      <c r="O2794" t="inlineStr">
        <is>
          <t>Yes</t>
        </is>
      </c>
      <c r="P2794" t="inlineStr">
        <is>
          <t>Soundariya B</t>
        </is>
      </c>
      <c r="Q2794" t="inlineStr">
        <is>
          <t>Bad</t>
        </is>
      </c>
    </row>
    <row r="2795">
      <c r="A2795" t="inlineStr">
        <is>
          <t>IAM5K</t>
        </is>
      </c>
      <c r="B2795" t="inlineStr">
        <is>
          <t>Sandeep Kumar</t>
        </is>
      </c>
      <c r="C2795" t="inlineStr">
        <is>
          <t>sandeep.k@osmosys.co</t>
        </is>
      </c>
      <c r="D2795" t="inlineStr">
        <is>
          <t>talking-buddy</t>
        </is>
      </c>
      <c r="E2795">
        <f>HYPERLINK("http://gitlab.osmosys.co/talking-buddy/portal", "portal")</f>
        <v/>
      </c>
      <c r="F2795">
        <f>HYPERLINK("http://gitlab.osmosys.co/talking-buddy/portal/-/merge_requests/90", "feat: create generic support detail page")</f>
        <v/>
      </c>
      <c r="G2795" t="inlineStr">
        <is>
          <t>TKBT-534</t>
        </is>
      </c>
      <c r="H2795" t="inlineStr">
        <is>
          <t>main</t>
        </is>
      </c>
      <c r="I2795" t="inlineStr">
        <is>
          <t>opened</t>
        </is>
      </c>
      <c r="J2795" t="inlineStr">
        <is>
          <t>f41379160f2bf3d0fec49f67d425fbeb9974e91b</t>
        </is>
      </c>
      <c r="K2795">
        <f>HYPERLINK("http://gitlab.osmosys.co/talking-buddy/portal/-/merge_requests/90#note_244568", "Remove this")</f>
        <v/>
      </c>
      <c r="L2795" t="inlineStr">
        <is>
          <t>2025-07-30 23:51:38.451 IST</t>
        </is>
      </c>
      <c r="M2795" t="inlineStr">
        <is>
          <t>Soundariya B</t>
        </is>
      </c>
      <c r="N2795" t="inlineStr">
        <is>
          <t>Yes</t>
        </is>
      </c>
      <c r="O2795" t="inlineStr">
        <is>
          <t>Yes</t>
        </is>
      </c>
      <c r="P2795" t="inlineStr">
        <is>
          <t>Soundariya B</t>
        </is>
      </c>
      <c r="Q2795" t="inlineStr">
        <is>
          <t>Bad</t>
        </is>
      </c>
    </row>
    <row r="2796">
      <c r="A2796" t="inlineStr">
        <is>
          <t>IAM5K</t>
        </is>
      </c>
      <c r="B2796" t="inlineStr">
        <is>
          <t>Sandeep Kumar</t>
        </is>
      </c>
      <c r="C2796" t="inlineStr">
        <is>
          <t>sandeep.k@osmosys.co</t>
        </is>
      </c>
      <c r="D2796" t="inlineStr">
        <is>
          <t>talking-buddy</t>
        </is>
      </c>
      <c r="E2796">
        <f>HYPERLINK("http://gitlab.osmosys.co/talking-buddy/portal", "portal")</f>
        <v/>
      </c>
      <c r="F2796">
        <f>HYPERLINK("http://gitlab.osmosys.co/talking-buddy/portal/-/merge_requests/90", "feat: create generic support detail page")</f>
        <v/>
      </c>
      <c r="G2796" t="inlineStr">
        <is>
          <t>TKBT-534</t>
        </is>
      </c>
      <c r="H2796" t="inlineStr">
        <is>
          <t>main</t>
        </is>
      </c>
      <c r="I2796" t="inlineStr">
        <is>
          <t>opened</t>
        </is>
      </c>
      <c r="J2796" t="inlineStr">
        <is>
          <t>f41379160f2bf3d0fec49f67d425fbeb9974e91b</t>
        </is>
      </c>
      <c r="K2796">
        <f>HYPERLINK("http://gitlab.osmosys.co/talking-buddy/portal/-/merge_requests/90#note_244621", "Updated the code and removed the comment. Please let me know if that's fine.")</f>
        <v/>
      </c>
      <c r="L2796" t="inlineStr">
        <is>
          <t>2025-07-31 10:07:35.658 IST</t>
        </is>
      </c>
      <c r="M2796" t="inlineStr">
        <is>
          <t>Sandeep Kumar</t>
        </is>
      </c>
      <c r="N2796" t="inlineStr">
        <is>
          <t>No</t>
        </is>
      </c>
      <c r="O2796" t="inlineStr">
        <is>
          <t>Yes</t>
        </is>
      </c>
      <c r="P2796" t="inlineStr">
        <is>
          <t>Soundariya B</t>
        </is>
      </c>
      <c r="Q2796" t="inlineStr">
        <is>
          <t>Bad</t>
        </is>
      </c>
    </row>
    <row r="2797">
      <c r="A2797" t="inlineStr">
        <is>
          <t>IAM5K</t>
        </is>
      </c>
      <c r="B2797" t="inlineStr">
        <is>
          <t>Sandeep Kumar</t>
        </is>
      </c>
      <c r="C2797" t="inlineStr">
        <is>
          <t>sandeep.k@osmosys.co</t>
        </is>
      </c>
      <c r="D2797" t="inlineStr">
        <is>
          <t>talking-buddy</t>
        </is>
      </c>
      <c r="E2797">
        <f>HYPERLINK("http://gitlab.osmosys.co/talking-buddy/portal", "portal")</f>
        <v/>
      </c>
      <c r="F2797">
        <f>HYPERLINK("http://gitlab.osmosys.co/talking-buddy/portal/-/merge_requests/90", "feat: create generic support detail page")</f>
        <v/>
      </c>
      <c r="G2797" t="inlineStr">
        <is>
          <t>TKBT-534</t>
        </is>
      </c>
      <c r="H2797" t="inlineStr">
        <is>
          <t>main</t>
        </is>
      </c>
      <c r="I2797" t="inlineStr">
        <is>
          <t>opened</t>
        </is>
      </c>
      <c r="J2797" t="inlineStr">
        <is>
          <t>f41379160f2bf3d0fec49f67d425fbeb9974e91b</t>
        </is>
      </c>
      <c r="K2797">
        <f>HYPERLINK("http://gitlab.osmosys.co/talking-buddy/portal/-/merge_requests/90#note_244975", "Ok but the changes are not reflecting please check once again and push the code")</f>
        <v/>
      </c>
      <c r="L2797" t="inlineStr">
        <is>
          <t>2025-07-31 15:26:38.417 IST</t>
        </is>
      </c>
      <c r="M2797" t="inlineStr">
        <is>
          <t>Soundariya B</t>
        </is>
      </c>
      <c r="N2797" t="inlineStr">
        <is>
          <t>Yes</t>
        </is>
      </c>
      <c r="O2797" t="inlineStr">
        <is>
          <t>Yes</t>
        </is>
      </c>
      <c r="P2797" t="inlineStr">
        <is>
          <t>Soundariya B</t>
        </is>
      </c>
      <c r="Q2797" t="inlineStr">
        <is>
          <t>Bad</t>
        </is>
      </c>
    </row>
    <row r="2798">
      <c r="A2798" t="inlineStr">
        <is>
          <t>IAM5K</t>
        </is>
      </c>
      <c r="B2798" t="inlineStr">
        <is>
          <t>Sandeep Kumar</t>
        </is>
      </c>
      <c r="C2798" t="inlineStr">
        <is>
          <t>sandeep.k@osmosys.co</t>
        </is>
      </c>
      <c r="D2798" t="inlineStr">
        <is>
          <t>talking-buddy</t>
        </is>
      </c>
      <c r="E2798">
        <f>HYPERLINK("http://gitlab.osmosys.co/talking-buddy/portal", "portal")</f>
        <v/>
      </c>
      <c r="F2798">
        <f>HYPERLINK("http://gitlab.osmosys.co/talking-buddy/portal/-/merge_requests/90", "feat: create generic support detail page")</f>
        <v/>
      </c>
      <c r="G2798" t="inlineStr">
        <is>
          <t>TKBT-534</t>
        </is>
      </c>
      <c r="H2798" t="inlineStr">
        <is>
          <t>main</t>
        </is>
      </c>
      <c r="I2798" t="inlineStr">
        <is>
          <t>opened</t>
        </is>
      </c>
      <c r="J2798" t="inlineStr">
        <is>
          <t>f41379160f2bf3d0fec49f67d425fbeb9974e91b</t>
        </is>
      </c>
      <c r="K2798">
        <f>HYPERLINK("http://gitlab.osmosys.co/talking-buddy/portal/-/merge_requests/90#note_245022", "Ok changes are reflecting now and its fine")</f>
        <v/>
      </c>
      <c r="L2798" t="inlineStr">
        <is>
          <t>2025-07-31 15:44:09.577 IST</t>
        </is>
      </c>
      <c r="M2798" t="inlineStr">
        <is>
          <t>Soundariya B</t>
        </is>
      </c>
      <c r="N2798" t="inlineStr">
        <is>
          <t>Yes</t>
        </is>
      </c>
      <c r="O2798" t="inlineStr">
        <is>
          <t>Yes</t>
        </is>
      </c>
      <c r="P2798" t="inlineStr">
        <is>
          <t>Soundariya B</t>
        </is>
      </c>
      <c r="Q2798" t="inlineStr">
        <is>
          <t>Bad</t>
        </is>
      </c>
    </row>
    <row r="2799">
      <c r="A2799" t="inlineStr">
        <is>
          <t>IAM5K</t>
        </is>
      </c>
      <c r="B2799" t="inlineStr">
        <is>
          <t>Sandeep Kumar</t>
        </is>
      </c>
      <c r="C2799" t="inlineStr">
        <is>
          <t>sandeep.k@osmosys.co</t>
        </is>
      </c>
      <c r="D2799" t="inlineStr">
        <is>
          <t>talking-buddy</t>
        </is>
      </c>
      <c r="E2799">
        <f>HYPERLINK("http://gitlab.osmosys.co/talking-buddy/portal", "portal")</f>
        <v/>
      </c>
      <c r="F2799">
        <f>HYPERLINK("http://gitlab.osmosys.co/talking-buddy/portal/-/merge_requests/90", "feat: create generic support detail page")</f>
        <v/>
      </c>
      <c r="G2799" t="inlineStr">
        <is>
          <t>TKBT-534</t>
        </is>
      </c>
      <c r="H2799" t="inlineStr">
        <is>
          <t>main</t>
        </is>
      </c>
      <c r="I2799" t="inlineStr">
        <is>
          <t>opened</t>
        </is>
      </c>
      <c r="J2799" t="inlineStr">
        <is>
          <t>1191493a7485e57064d6a7a4e4899445572f5bf0</t>
        </is>
      </c>
      <c r="K2799">
        <f>HYPERLINK("http://gitlab.osmosys.co/talking-buddy/portal/-/merge_requests/90#note_244569", "Use the already used font styles and size, don't force to use different ones specially which already there
Avoid to use !important")</f>
        <v/>
      </c>
      <c r="L2799" t="inlineStr">
        <is>
          <t>2025-07-30 23:51:38.529 IST</t>
        </is>
      </c>
      <c r="M2799" t="inlineStr">
        <is>
          <t>Soundariya B</t>
        </is>
      </c>
      <c r="N2799" t="inlineStr">
        <is>
          <t>Yes</t>
        </is>
      </c>
      <c r="O2799" t="inlineStr">
        <is>
          <t>Yes</t>
        </is>
      </c>
      <c r="P2799" t="inlineStr">
        <is>
          <t>Soundariya B</t>
        </is>
      </c>
      <c r="Q2799" t="inlineStr">
        <is>
          <t>Neutral</t>
        </is>
      </c>
    </row>
    <row r="2800">
      <c r="A2800" t="inlineStr">
        <is>
          <t>IAM5K</t>
        </is>
      </c>
      <c r="B2800" t="inlineStr">
        <is>
          <t>Sandeep Kumar</t>
        </is>
      </c>
      <c r="C2800" t="inlineStr">
        <is>
          <t>sandeep.k@osmosys.co</t>
        </is>
      </c>
      <c r="D2800" t="inlineStr">
        <is>
          <t>talking-buddy</t>
        </is>
      </c>
      <c r="E2800">
        <f>HYPERLINK("http://gitlab.osmosys.co/talking-buddy/portal", "portal")</f>
        <v/>
      </c>
      <c r="F2800">
        <f>HYPERLINK("http://gitlab.osmosys.co/talking-buddy/portal/-/merge_requests/90", "feat: create generic support detail page")</f>
        <v/>
      </c>
      <c r="G2800" t="inlineStr">
        <is>
          <t>TKBT-534</t>
        </is>
      </c>
      <c r="H2800" t="inlineStr">
        <is>
          <t>main</t>
        </is>
      </c>
      <c r="I2800" t="inlineStr">
        <is>
          <t>opened</t>
        </is>
      </c>
      <c r="J2800" t="inlineStr">
        <is>
          <t>1191493a7485e57064d6a7a4e4899445572f5bf0</t>
        </is>
      </c>
      <c r="K2800">
        <f>HYPERLINK("http://gitlab.osmosys.co/talking-buddy/portal/-/merge_requests/90#note_244620", "![image](/uploads/33271a78ab0940b69224f8d40f9b3a64/image.png){width=558 height=388}
This css is part of call details component. I know this is a bad practice but to follow the same, I have used it here. Refactoring/re-writing of css will require some more budget.
We should never import the global css file in component css as we can directly use the class name and it will work so; as part of my observation many file has imported `style.scss` which should be corrected. Please add this to TODO.
cc: @RajKumar , @anand.p")</f>
        <v/>
      </c>
      <c r="L2800" t="inlineStr">
        <is>
          <t>2025-07-31 10:06:53.049 IST</t>
        </is>
      </c>
      <c r="M2800" t="inlineStr">
        <is>
          <t>Sandeep Kumar</t>
        </is>
      </c>
      <c r="N2800" t="inlineStr">
        <is>
          <t>No</t>
        </is>
      </c>
      <c r="O2800" t="inlineStr">
        <is>
          <t>Yes</t>
        </is>
      </c>
      <c r="P2800" t="inlineStr">
        <is>
          <t>Soundariya B</t>
        </is>
      </c>
      <c r="Q2800" t="inlineStr">
        <is>
          <t>Neutral</t>
        </is>
      </c>
    </row>
    <row r="2801">
      <c r="A2801" t="inlineStr">
        <is>
          <t>IAM5K</t>
        </is>
      </c>
      <c r="B2801" t="inlineStr">
        <is>
          <t>Sandeep Kumar</t>
        </is>
      </c>
      <c r="C2801" t="inlineStr">
        <is>
          <t>sandeep.k@osmosys.co</t>
        </is>
      </c>
      <c r="D2801" t="inlineStr">
        <is>
          <t>talking-buddy</t>
        </is>
      </c>
      <c r="E2801">
        <f>HYPERLINK("http://gitlab.osmosys.co/talking-buddy/portal", "portal")</f>
        <v/>
      </c>
      <c r="F2801">
        <f>HYPERLINK("http://gitlab.osmosys.co/talking-buddy/portal/-/merge_requests/90", "feat: create generic support detail page")</f>
        <v/>
      </c>
      <c r="G2801" t="inlineStr">
        <is>
          <t>TKBT-534</t>
        </is>
      </c>
      <c r="H2801" t="inlineStr">
        <is>
          <t>main</t>
        </is>
      </c>
      <c r="I2801" t="inlineStr">
        <is>
          <t>opened</t>
        </is>
      </c>
      <c r="J2801" t="inlineStr">
        <is>
          <t>1191493a7485e57064d6a7a4e4899445572f5bf0</t>
        </is>
      </c>
      <c r="K2801">
        <f>HYPERLINK("http://gitlab.osmosys.co/talking-buddy/portal/-/merge_requests/90#note_244983", "Ok agreed.")</f>
        <v/>
      </c>
      <c r="L2801" t="inlineStr">
        <is>
          <t>2025-07-31 15:28:15.150 IST</t>
        </is>
      </c>
      <c r="M2801" t="inlineStr">
        <is>
          <t>Soundariya B</t>
        </is>
      </c>
      <c r="N2801" t="inlineStr">
        <is>
          <t>Yes</t>
        </is>
      </c>
      <c r="O2801" t="inlineStr">
        <is>
          <t>Yes</t>
        </is>
      </c>
      <c r="P2801" t="inlineStr">
        <is>
          <t>Soundariya B</t>
        </is>
      </c>
      <c r="Q2801" t="inlineStr">
        <is>
          <t>Neutral</t>
        </is>
      </c>
    </row>
    <row r="2802">
      <c r="A2802" t="inlineStr">
        <is>
          <t>IAM5K</t>
        </is>
      </c>
      <c r="B2802" t="inlineStr">
        <is>
          <t>Sandeep Kumar</t>
        </is>
      </c>
      <c r="C2802" t="inlineStr">
        <is>
          <t>sandeep.k@osmosys.co</t>
        </is>
      </c>
      <c r="D2802" t="inlineStr">
        <is>
          <t>talking-buddy</t>
        </is>
      </c>
      <c r="E2802">
        <f>HYPERLINK("http://gitlab.osmosys.co/talking-buddy/portal", "portal")</f>
        <v/>
      </c>
      <c r="F2802">
        <f>HYPERLINK("http://gitlab.osmosys.co/talking-buddy/portal/-/merge_requests/90", "feat: create generic support detail page")</f>
        <v/>
      </c>
      <c r="G2802" t="inlineStr">
        <is>
          <t>TKBT-534</t>
        </is>
      </c>
      <c r="H2802" t="inlineStr">
        <is>
          <t>main</t>
        </is>
      </c>
      <c r="I2802" t="inlineStr">
        <is>
          <t>opened</t>
        </is>
      </c>
      <c r="J2802" t="inlineStr">
        <is>
          <t>8c0cb3e21d934d758a0521a27fc4a8989c4e5820</t>
        </is>
      </c>
      <c r="K2802">
        <f>HYPERLINK("http://gitlab.osmosys.co/talking-buddy/portal/-/merge_requests/90#note_244570", "These seem common and are already used somewhere else, so can you take this from the global file.")</f>
        <v/>
      </c>
      <c r="L2802" t="inlineStr">
        <is>
          <t>2025-07-30 23:51:38.581 IST</t>
        </is>
      </c>
      <c r="M2802" t="inlineStr">
        <is>
          <t>Soundariya B</t>
        </is>
      </c>
      <c r="N2802" t="inlineStr">
        <is>
          <t>Yes</t>
        </is>
      </c>
      <c r="O2802" t="inlineStr">
        <is>
          <t>Yes</t>
        </is>
      </c>
      <c r="P2802" t="inlineStr">
        <is>
          <t>Soundariya B</t>
        </is>
      </c>
      <c r="Q2802" t="inlineStr">
        <is>
          <t>Bad</t>
        </is>
      </c>
    </row>
    <row r="2803">
      <c r="A2803" t="inlineStr">
        <is>
          <t>IAM5K</t>
        </is>
      </c>
      <c r="B2803" t="inlineStr">
        <is>
          <t>Sandeep Kumar</t>
        </is>
      </c>
      <c r="C2803" t="inlineStr">
        <is>
          <t>sandeep.k@osmosys.co</t>
        </is>
      </c>
      <c r="D2803" t="inlineStr">
        <is>
          <t>talking-buddy</t>
        </is>
      </c>
      <c r="E2803">
        <f>HYPERLINK("http://gitlab.osmosys.co/talking-buddy/portal", "portal")</f>
        <v/>
      </c>
      <c r="F2803">
        <f>HYPERLINK("http://gitlab.osmosys.co/talking-buddy/portal/-/merge_requests/90", "feat: create generic support detail page")</f>
        <v/>
      </c>
      <c r="G2803" t="inlineStr">
        <is>
          <t>TKBT-534</t>
        </is>
      </c>
      <c r="H2803" t="inlineStr">
        <is>
          <t>main</t>
        </is>
      </c>
      <c r="I2803" t="inlineStr">
        <is>
          <t>opened</t>
        </is>
      </c>
      <c r="J2803" t="inlineStr">
        <is>
          <t>8c0cb3e21d934d758a0521a27fc4a8989c4e5820</t>
        </is>
      </c>
      <c r="K2803">
        <f>HYPERLINK("http://gitlab.osmosys.co/talking-buddy/portal/-/merge_requests/90#note_244615", "Adding all css to global is a bad practice and result in slowing the portal. I am refactoring to share between the components.")</f>
        <v/>
      </c>
      <c r="L2803" t="inlineStr">
        <is>
          <t>2025-07-31 10:01:20.664 IST</t>
        </is>
      </c>
      <c r="M2803" t="inlineStr">
        <is>
          <t>Sandeep Kumar</t>
        </is>
      </c>
      <c r="N2803" t="inlineStr">
        <is>
          <t>No</t>
        </is>
      </c>
      <c r="O2803" t="inlineStr">
        <is>
          <t>Yes</t>
        </is>
      </c>
      <c r="P2803" t="inlineStr">
        <is>
          <t>Soundariya B</t>
        </is>
      </c>
      <c r="Q2803" t="inlineStr">
        <is>
          <t>Bad</t>
        </is>
      </c>
    </row>
    <row r="2804">
      <c r="A2804" t="inlineStr">
        <is>
          <t>IAM5K</t>
        </is>
      </c>
      <c r="B2804" t="inlineStr">
        <is>
          <t>Sandeep Kumar</t>
        </is>
      </c>
      <c r="C2804" t="inlineStr">
        <is>
          <t>sandeep.k@osmosys.co</t>
        </is>
      </c>
      <c r="D2804" t="inlineStr">
        <is>
          <t>talking-buddy</t>
        </is>
      </c>
      <c r="E2804">
        <f>HYPERLINK("http://gitlab.osmosys.co/talking-buddy/portal", "portal")</f>
        <v/>
      </c>
      <c r="F2804">
        <f>HYPERLINK("http://gitlab.osmosys.co/talking-buddy/portal/-/merge_requests/90", "feat: create generic support detail page")</f>
        <v/>
      </c>
      <c r="G2804" t="inlineStr">
        <is>
          <t>TKBT-534</t>
        </is>
      </c>
      <c r="H2804" t="inlineStr">
        <is>
          <t>main</t>
        </is>
      </c>
      <c r="I2804" t="inlineStr">
        <is>
          <t>opened</t>
        </is>
      </c>
      <c r="J2804" t="inlineStr">
        <is>
          <t>8c0cb3e21d934d758a0521a27fc4a8989c4e5820</t>
        </is>
      </c>
      <c r="K2804">
        <f>HYPERLINK("http://gitlab.osmosys.co/talking-buddy/portal/-/merge_requests/90#note_244984", "If common CSS using across the portal its not a bad practice because if any CSS using mostly same with same classname then we can define those common CSS to global file but about refactoring you said but the changes are not reflecting please check once again and push the code")</f>
        <v/>
      </c>
      <c r="L2804" t="inlineStr">
        <is>
          <t>2025-07-31 15:29:46.134 IST</t>
        </is>
      </c>
      <c r="M2804" t="inlineStr">
        <is>
          <t>Soundariya B</t>
        </is>
      </c>
      <c r="N2804" t="inlineStr">
        <is>
          <t>Yes</t>
        </is>
      </c>
      <c r="O2804" t="inlineStr">
        <is>
          <t>Yes</t>
        </is>
      </c>
      <c r="P2804" t="inlineStr">
        <is>
          <t>Soundariya B</t>
        </is>
      </c>
      <c r="Q2804" t="inlineStr">
        <is>
          <t>Bad</t>
        </is>
      </c>
    </row>
    <row r="2805">
      <c r="A2805" t="inlineStr">
        <is>
          <t>IAM5K</t>
        </is>
      </c>
      <c r="B2805" t="inlineStr">
        <is>
          <t>Sandeep Kumar</t>
        </is>
      </c>
      <c r="C2805" t="inlineStr">
        <is>
          <t>sandeep.k@osmosys.co</t>
        </is>
      </c>
      <c r="D2805" t="inlineStr">
        <is>
          <t>talking-buddy</t>
        </is>
      </c>
      <c r="E2805">
        <f>HYPERLINK("http://gitlab.osmosys.co/talking-buddy/portal", "portal")</f>
        <v/>
      </c>
      <c r="F2805">
        <f>HYPERLINK("http://gitlab.osmosys.co/talking-buddy/portal/-/merge_requests/90", "feat: create generic support detail page")</f>
        <v/>
      </c>
      <c r="G2805" t="inlineStr">
        <is>
          <t>TKBT-534</t>
        </is>
      </c>
      <c r="H2805" t="inlineStr">
        <is>
          <t>main</t>
        </is>
      </c>
      <c r="I2805" t="inlineStr">
        <is>
          <t>opened</t>
        </is>
      </c>
      <c r="J2805" t="inlineStr">
        <is>
          <t>72909ac80e35d91117dd78bfda6bf9b11c325605</t>
        </is>
      </c>
      <c r="K2805">
        <f>HYPERLINK("http://gitlab.osmosys.co/talking-buddy/portal/-/merge_requests/90#note_244571", "These same css are already using so can't use it at once with multiple css classnames")</f>
        <v/>
      </c>
      <c r="L2805" t="inlineStr">
        <is>
          <t>2025-07-30 23:51:38.633 IST</t>
        </is>
      </c>
      <c r="M2805" t="inlineStr">
        <is>
          <t>Soundariya B</t>
        </is>
      </c>
      <c r="N2805" t="inlineStr">
        <is>
          <t>Yes</t>
        </is>
      </c>
      <c r="O2805" t="inlineStr">
        <is>
          <t>Yes</t>
        </is>
      </c>
      <c r="P2805" t="inlineStr">
        <is>
          <t>Soundariya B</t>
        </is>
      </c>
      <c r="Q2805" t="inlineStr">
        <is>
          <t>Bad</t>
        </is>
      </c>
    </row>
    <row r="2806">
      <c r="A2806" t="inlineStr">
        <is>
          <t>IAM5K</t>
        </is>
      </c>
      <c r="B2806" t="inlineStr">
        <is>
          <t>Sandeep Kumar</t>
        </is>
      </c>
      <c r="C2806" t="inlineStr">
        <is>
          <t>sandeep.k@osmosys.co</t>
        </is>
      </c>
      <c r="D2806" t="inlineStr">
        <is>
          <t>talking-buddy</t>
        </is>
      </c>
      <c r="E2806">
        <f>HYPERLINK("http://gitlab.osmosys.co/talking-buddy/portal", "portal")</f>
        <v/>
      </c>
      <c r="F2806">
        <f>HYPERLINK("http://gitlab.osmosys.co/talking-buddy/portal/-/merge_requests/90", "feat: create generic support detail page")</f>
        <v/>
      </c>
      <c r="G2806" t="inlineStr">
        <is>
          <t>TKBT-534</t>
        </is>
      </c>
      <c r="H2806" t="inlineStr">
        <is>
          <t>main</t>
        </is>
      </c>
      <c r="I2806" t="inlineStr">
        <is>
          <t>opened</t>
        </is>
      </c>
      <c r="J2806" t="inlineStr">
        <is>
          <t>72909ac80e35d91117dd78bfda6bf9b11c325605</t>
        </is>
      </c>
      <c r="K2806">
        <f>HYPERLINK("http://gitlab.osmosys.co/talking-buddy/portal/-/merge_requests/90#note_244616", "Adding all css to global is a bad practice and result in slowing the portal. I am refactoring to share between the components.")</f>
        <v/>
      </c>
      <c r="L2806" t="inlineStr">
        <is>
          <t>2025-07-31 10:01:29.622 IST</t>
        </is>
      </c>
      <c r="M2806" t="inlineStr">
        <is>
          <t>Sandeep Kumar</t>
        </is>
      </c>
      <c r="N2806" t="inlineStr">
        <is>
          <t>No</t>
        </is>
      </c>
      <c r="O2806" t="inlineStr">
        <is>
          <t>Yes</t>
        </is>
      </c>
      <c r="P2806" t="inlineStr">
        <is>
          <t>Soundariya B</t>
        </is>
      </c>
      <c r="Q2806" t="inlineStr">
        <is>
          <t>Bad</t>
        </is>
      </c>
    </row>
    <row r="2807">
      <c r="A2807" t="inlineStr">
        <is>
          <t>IAM5K</t>
        </is>
      </c>
      <c r="B2807" t="inlineStr">
        <is>
          <t>Sandeep Kumar</t>
        </is>
      </c>
      <c r="C2807" t="inlineStr">
        <is>
          <t>sandeep.k@osmosys.co</t>
        </is>
      </c>
      <c r="D2807" t="inlineStr">
        <is>
          <t>talking-buddy</t>
        </is>
      </c>
      <c r="E2807">
        <f>HYPERLINK("http://gitlab.osmosys.co/talking-buddy/portal", "portal")</f>
        <v/>
      </c>
      <c r="F2807">
        <f>HYPERLINK("http://gitlab.osmosys.co/talking-buddy/portal/-/merge_requests/90", "feat: create generic support detail page")</f>
        <v/>
      </c>
      <c r="G2807" t="inlineStr">
        <is>
          <t>TKBT-534</t>
        </is>
      </c>
      <c r="H2807" t="inlineStr">
        <is>
          <t>main</t>
        </is>
      </c>
      <c r="I2807" t="inlineStr">
        <is>
          <t>opened</t>
        </is>
      </c>
      <c r="J2807" t="inlineStr">
        <is>
          <t>72909ac80e35d91117dd78bfda6bf9b11c325605</t>
        </is>
      </c>
      <c r="K2807">
        <f>HYPERLINK("http://gitlab.osmosys.co/talking-buddy/portal/-/merge_requests/90#note_244986", "If common CSS using across the portal its not a bad practice because if any CSS using mostly same with same classname then we can define those common CSS to global file but about refactoring you said but the changes are not reflecting please check once again and push the code")</f>
        <v/>
      </c>
      <c r="L2807" t="inlineStr">
        <is>
          <t>2025-07-31 15:30:02.805 IST</t>
        </is>
      </c>
      <c r="M2807" t="inlineStr">
        <is>
          <t>Soundariya B</t>
        </is>
      </c>
      <c r="N2807" t="inlineStr">
        <is>
          <t>Yes</t>
        </is>
      </c>
      <c r="O2807" t="inlineStr">
        <is>
          <t>Yes</t>
        </is>
      </c>
      <c r="P2807" t="inlineStr">
        <is>
          <t>Soundariya B</t>
        </is>
      </c>
      <c r="Q2807" t="inlineStr">
        <is>
          <t>Bad</t>
        </is>
      </c>
    </row>
    <row r="2808">
      <c r="A2808" t="inlineStr">
        <is>
          <t>IAM5K</t>
        </is>
      </c>
      <c r="B2808" t="inlineStr">
        <is>
          <t>Sandeep Kumar</t>
        </is>
      </c>
      <c r="C2808" t="inlineStr">
        <is>
          <t>sandeep.k@osmosys.co</t>
        </is>
      </c>
      <c r="D2808" t="inlineStr">
        <is>
          <t>talking-buddy</t>
        </is>
      </c>
      <c r="E2808">
        <f>HYPERLINK("http://gitlab.osmosys.co/talking-buddy/portal", "portal")</f>
        <v/>
      </c>
      <c r="F2808">
        <f>HYPERLINK("http://gitlab.osmosys.co/talking-buddy/portal/-/merge_requests/90", "feat: create generic support detail page")</f>
        <v/>
      </c>
      <c r="G2808" t="inlineStr">
        <is>
          <t>TKBT-534</t>
        </is>
      </c>
      <c r="H2808" t="inlineStr">
        <is>
          <t>main</t>
        </is>
      </c>
      <c r="I2808" t="inlineStr">
        <is>
          <t>opened</t>
        </is>
      </c>
      <c r="J2808" t="inlineStr">
        <is>
          <t>269ab26a8033d39783eab739d58895c0dbf73396</t>
        </is>
      </c>
      <c r="K2808">
        <f>HYPERLINK("http://gitlab.osmosys.co/talking-buddy/portal/-/merge_requests/90#note_244572", "Remove this hardcoded, this must be dynamic value")</f>
        <v/>
      </c>
      <c r="L2808" t="inlineStr">
        <is>
          <t>2025-07-30 23:51:38.712 IST</t>
        </is>
      </c>
      <c r="M2808" t="inlineStr">
        <is>
          <t>Soundariya B</t>
        </is>
      </c>
      <c r="N2808" t="inlineStr">
        <is>
          <t>Yes</t>
        </is>
      </c>
      <c r="O2808" t="inlineStr">
        <is>
          <t>Yes</t>
        </is>
      </c>
      <c r="P2808" t="inlineStr">
        <is>
          <t>Soundariya B</t>
        </is>
      </c>
      <c r="Q2808" t="inlineStr">
        <is>
          <t>Bad</t>
        </is>
      </c>
    </row>
    <row r="2809">
      <c r="A2809" t="inlineStr">
        <is>
          <t>IAM5K</t>
        </is>
      </c>
      <c r="B2809" t="inlineStr">
        <is>
          <t>Sandeep Kumar</t>
        </is>
      </c>
      <c r="C2809" t="inlineStr">
        <is>
          <t>sandeep.k@osmosys.co</t>
        </is>
      </c>
      <c r="D2809" t="inlineStr">
        <is>
          <t>talking-buddy</t>
        </is>
      </c>
      <c r="E2809">
        <f>HYPERLINK("http://gitlab.osmosys.co/talking-buddy/portal", "portal")</f>
        <v/>
      </c>
      <c r="F2809">
        <f>HYPERLINK("http://gitlab.osmosys.co/talking-buddy/portal/-/merge_requests/90", "feat: create generic support detail page")</f>
        <v/>
      </c>
      <c r="G2809" t="inlineStr">
        <is>
          <t>TKBT-534</t>
        </is>
      </c>
      <c r="H2809" t="inlineStr">
        <is>
          <t>main</t>
        </is>
      </c>
      <c r="I2809" t="inlineStr">
        <is>
          <t>opened</t>
        </is>
      </c>
      <c r="J2809" t="inlineStr">
        <is>
          <t>269ab26a8033d39783eab739d58895c0dbf73396</t>
        </is>
      </c>
      <c r="K2809">
        <f>HYPERLINK("http://gitlab.osmosys.co/talking-buddy/portal/-/merge_requests/90#note_244987", "Not yet fixed")</f>
        <v/>
      </c>
      <c r="L2809" t="inlineStr">
        <is>
          <t>2025-07-31 15:30:21.615 IST</t>
        </is>
      </c>
      <c r="M2809" t="inlineStr">
        <is>
          <t>Soundariya B</t>
        </is>
      </c>
      <c r="N2809" t="inlineStr">
        <is>
          <t>Yes</t>
        </is>
      </c>
      <c r="O2809" t="inlineStr">
        <is>
          <t>Yes</t>
        </is>
      </c>
      <c r="P2809" t="inlineStr">
        <is>
          <t>Soundariya B</t>
        </is>
      </c>
      <c r="Q2809" t="inlineStr">
        <is>
          <t>Bad</t>
        </is>
      </c>
    </row>
    <row r="2810">
      <c r="A2810" t="inlineStr">
        <is>
          <t>IAM5K</t>
        </is>
      </c>
      <c r="B2810" t="inlineStr">
        <is>
          <t>Sandeep Kumar</t>
        </is>
      </c>
      <c r="C2810" t="inlineStr">
        <is>
          <t>sandeep.k@osmosys.co</t>
        </is>
      </c>
      <c r="D2810" t="inlineStr">
        <is>
          <t>talking-buddy</t>
        </is>
      </c>
      <c r="E2810">
        <f>HYPERLINK("http://gitlab.osmosys.co/talking-buddy/portal", "portal")</f>
        <v/>
      </c>
      <c r="F2810">
        <f>HYPERLINK("http://gitlab.osmosys.co/talking-buddy/portal/-/merge_requests/90", "feat: create generic support detail page")</f>
        <v/>
      </c>
      <c r="G2810" t="inlineStr">
        <is>
          <t>TKBT-534</t>
        </is>
      </c>
      <c r="H2810" t="inlineStr">
        <is>
          <t>main</t>
        </is>
      </c>
      <c r="I2810" t="inlineStr">
        <is>
          <t>opened</t>
        </is>
      </c>
      <c r="J2810" t="inlineStr">
        <is>
          <t>269ab26a8033d39783eab739d58895c0dbf73396</t>
        </is>
      </c>
      <c r="K2810">
        <f>HYPERLINK("http://gitlab.osmosys.co/talking-buddy/portal/-/merge_requests/90#note_245021", "Ok changes are reflecting now and its fine")</f>
        <v/>
      </c>
      <c r="L2810" t="inlineStr">
        <is>
          <t>2025-07-31 15:43:18.827 IST</t>
        </is>
      </c>
      <c r="M2810" t="inlineStr">
        <is>
          <t>Soundariya B</t>
        </is>
      </c>
      <c r="N2810" t="inlineStr">
        <is>
          <t>Yes</t>
        </is>
      </c>
      <c r="O2810" t="inlineStr">
        <is>
          <t>Yes</t>
        </is>
      </c>
      <c r="P2810" t="inlineStr">
        <is>
          <t>Soundariya B</t>
        </is>
      </c>
      <c r="Q2810" t="inlineStr">
        <is>
          <t>Bad</t>
        </is>
      </c>
    </row>
    <row r="2811">
      <c r="A2811" t="inlineStr">
        <is>
          <t>IAM5K</t>
        </is>
      </c>
      <c r="B2811" t="inlineStr">
        <is>
          <t>Sandeep Kumar</t>
        </is>
      </c>
      <c r="C2811" t="inlineStr">
        <is>
          <t>sandeep.k@osmosys.co</t>
        </is>
      </c>
      <c r="D2811" t="inlineStr">
        <is>
          <t>talking-buddy</t>
        </is>
      </c>
      <c r="E2811">
        <f>HYPERLINK("http://gitlab.osmosys.co/talking-buddy/portal", "portal")</f>
        <v/>
      </c>
      <c r="F2811">
        <f>HYPERLINK("http://gitlab.osmosys.co/talking-buddy/portal/-/merge_requests/90", "feat: create generic support detail page")</f>
        <v/>
      </c>
      <c r="G2811" t="inlineStr">
        <is>
          <t>TKBT-534</t>
        </is>
      </c>
      <c r="H2811" t="inlineStr">
        <is>
          <t>main</t>
        </is>
      </c>
      <c r="I2811" t="inlineStr">
        <is>
          <t>opened</t>
        </is>
      </c>
      <c r="J2811" t="inlineStr">
        <is>
          <t>c924757dc728cecdc3aeb2ef2e71e87d6025bc7c</t>
        </is>
      </c>
      <c r="K2811">
        <f>HYPERLINK("http://gitlab.osmosys.co/talking-buddy/portal/-/merge_requests/90#note_244573", "No error block, please fix it")</f>
        <v/>
      </c>
      <c r="L2811" t="inlineStr">
        <is>
          <t>2025-07-30 23:51:38.763 IST</t>
        </is>
      </c>
      <c r="M2811" t="inlineStr">
        <is>
          <t>Soundariya B</t>
        </is>
      </c>
      <c r="N2811" t="inlineStr">
        <is>
          <t>Yes</t>
        </is>
      </c>
      <c r="O2811" t="inlineStr">
        <is>
          <t>Yes</t>
        </is>
      </c>
      <c r="P2811" t="inlineStr">
        <is>
          <t>Soundariya B</t>
        </is>
      </c>
      <c r="Q2811" t="inlineStr">
        <is>
          <t>Bad</t>
        </is>
      </c>
    </row>
    <row r="2812">
      <c r="A2812" t="inlineStr">
        <is>
          <t>IAM5K</t>
        </is>
      </c>
      <c r="B2812" t="inlineStr">
        <is>
          <t>Sandeep Kumar</t>
        </is>
      </c>
      <c r="C2812" t="inlineStr">
        <is>
          <t>sandeep.k@osmosys.co</t>
        </is>
      </c>
      <c r="D2812" t="inlineStr">
        <is>
          <t>talking-buddy</t>
        </is>
      </c>
      <c r="E2812">
        <f>HYPERLINK("http://gitlab.osmosys.co/talking-buddy/portal", "portal")</f>
        <v/>
      </c>
      <c r="F2812">
        <f>HYPERLINK("http://gitlab.osmosys.co/talking-buddy/portal/-/merge_requests/90", "feat: create generic support detail page")</f>
        <v/>
      </c>
      <c r="G2812" t="inlineStr">
        <is>
          <t>TKBT-534</t>
        </is>
      </c>
      <c r="H2812" t="inlineStr">
        <is>
          <t>main</t>
        </is>
      </c>
      <c r="I2812" t="inlineStr">
        <is>
          <t>opened</t>
        </is>
      </c>
      <c r="J2812" t="inlineStr">
        <is>
          <t>c924757dc728cecdc3aeb2ef2e71e87d6025bc7c</t>
        </is>
      </c>
      <c r="K2812">
        <f>HYPERLINK("http://gitlab.osmosys.co/talking-buddy/portal/-/merge_requests/90#note_244613", "![image](/uploads/784d504b8041770beafdf132734c8c75/image.png)
I noticed the code has an error block already — could you clarify what you meant by 'no error block'? Are you expecting more detailed handling or logging?")</f>
        <v/>
      </c>
      <c r="L2812" t="inlineStr">
        <is>
          <t>2025-07-31 09:58:26.127 IST</t>
        </is>
      </c>
      <c r="M2812" t="inlineStr">
        <is>
          <t>Sandeep Kumar</t>
        </is>
      </c>
      <c r="N2812" t="inlineStr">
        <is>
          <t>No</t>
        </is>
      </c>
      <c r="O2812" t="inlineStr">
        <is>
          <t>Yes</t>
        </is>
      </c>
      <c r="P2812" t="inlineStr">
        <is>
          <t>Soundariya B</t>
        </is>
      </c>
      <c r="Q2812" t="inlineStr">
        <is>
          <t>Bad</t>
        </is>
      </c>
    </row>
    <row r="2813">
      <c r="A2813" t="inlineStr">
        <is>
          <t>IAM5K</t>
        </is>
      </c>
      <c r="B2813" t="inlineStr">
        <is>
          <t>Sandeep Kumar</t>
        </is>
      </c>
      <c r="C2813" t="inlineStr">
        <is>
          <t>sandeep.k@osmosys.co</t>
        </is>
      </c>
      <c r="D2813" t="inlineStr">
        <is>
          <t>talking-buddy</t>
        </is>
      </c>
      <c r="E2813">
        <f>HYPERLINK("http://gitlab.osmosys.co/talking-buddy/portal", "portal")</f>
        <v/>
      </c>
      <c r="F2813">
        <f>HYPERLINK("http://gitlab.osmosys.co/talking-buddy/portal/-/merge_requests/90", "feat: create generic support detail page")</f>
        <v/>
      </c>
      <c r="G2813" t="inlineStr">
        <is>
          <t>TKBT-534</t>
        </is>
      </c>
      <c r="H2813" t="inlineStr">
        <is>
          <t>main</t>
        </is>
      </c>
      <c r="I2813" t="inlineStr">
        <is>
          <t>opened</t>
        </is>
      </c>
      <c r="J2813" t="inlineStr">
        <is>
          <t>c924757dc728cecdc3aeb2ef2e71e87d6025bc7c</t>
        </is>
      </c>
      <c r="K2813">
        <f>HYPERLINK("http://gitlab.osmosys.co/talking-buddy/portal/-/merge_requests/90#note_244993", "Please ref this SS what I meant 
![image.png](/uploads/8fa3578616cfd8985075ec1e690071be/image.png)")</f>
        <v/>
      </c>
      <c r="L2813" t="inlineStr">
        <is>
          <t>2025-07-31 15:31:48.955 IST</t>
        </is>
      </c>
      <c r="M2813" t="inlineStr">
        <is>
          <t>Soundariya B</t>
        </is>
      </c>
      <c r="N2813" t="inlineStr">
        <is>
          <t>Yes</t>
        </is>
      </c>
      <c r="O2813" t="inlineStr">
        <is>
          <t>Yes</t>
        </is>
      </c>
      <c r="P2813" t="inlineStr">
        <is>
          <t>Soundariya B</t>
        </is>
      </c>
      <c r="Q2813" t="inlineStr">
        <is>
          <t>Bad</t>
        </is>
      </c>
    </row>
    <row r="2814">
      <c r="A2814" t="inlineStr">
        <is>
          <t>IAM5K</t>
        </is>
      </c>
      <c r="B2814" t="inlineStr">
        <is>
          <t>Sandeep Kumar</t>
        </is>
      </c>
      <c r="C2814" t="inlineStr">
        <is>
          <t>sandeep.k@osmosys.co</t>
        </is>
      </c>
      <c r="D2814" t="inlineStr">
        <is>
          <t>talking-buddy</t>
        </is>
      </c>
      <c r="E2814">
        <f>HYPERLINK("http://gitlab.osmosys.co/talking-buddy/portal", "portal")</f>
        <v/>
      </c>
      <c r="F2814">
        <f>HYPERLINK("http://gitlab.osmosys.co/talking-buddy/portal/-/merge_requests/90", "feat: create generic support detail page")</f>
        <v/>
      </c>
      <c r="G2814" t="inlineStr">
        <is>
          <t>TKBT-534</t>
        </is>
      </c>
      <c r="H2814" t="inlineStr">
        <is>
          <t>main</t>
        </is>
      </c>
      <c r="I2814" t="inlineStr">
        <is>
          <t>opened</t>
        </is>
      </c>
      <c r="J2814" t="inlineStr">
        <is>
          <t>c924757dc728cecdc3aeb2ef2e71e87d6025bc7c</t>
        </is>
      </c>
      <c r="K2814">
        <f>HYPERLINK("http://gitlab.osmosys.co/talking-buddy/portal/-/merge_requests/90#note_245009", "Ok changes are reflecting now and its fine")</f>
        <v/>
      </c>
      <c r="L2814" t="inlineStr">
        <is>
          <t>2025-07-31 15:42:31.843 IST</t>
        </is>
      </c>
      <c r="M2814" t="inlineStr">
        <is>
          <t>Soundariya B</t>
        </is>
      </c>
      <c r="N2814" t="inlineStr">
        <is>
          <t>Yes</t>
        </is>
      </c>
      <c r="O2814" t="inlineStr">
        <is>
          <t>Yes</t>
        </is>
      </c>
      <c r="P2814" t="inlineStr">
        <is>
          <t>Soundariya B</t>
        </is>
      </c>
      <c r="Q2814" t="inlineStr">
        <is>
          <t>Bad</t>
        </is>
      </c>
    </row>
    <row r="2815">
      <c r="A2815" t="inlineStr">
        <is>
          <t>IAM5K</t>
        </is>
      </c>
      <c r="B2815" t="inlineStr">
        <is>
          <t>Sandeep Kumar</t>
        </is>
      </c>
      <c r="C2815" t="inlineStr">
        <is>
          <t>sandeep.k@osmosys.co</t>
        </is>
      </c>
      <c r="D2815" t="inlineStr">
        <is>
          <t>talking-buddy</t>
        </is>
      </c>
      <c r="E2815">
        <f>HYPERLINK("http://gitlab.osmosys.co/talking-buddy/portal", "portal")</f>
        <v/>
      </c>
      <c r="F2815">
        <f>HYPERLINK("http://gitlab.osmosys.co/talking-buddy/portal/-/merge_requests/90", "feat: create generic support detail page")</f>
        <v/>
      </c>
      <c r="G2815" t="inlineStr">
        <is>
          <t>TKBT-534</t>
        </is>
      </c>
      <c r="H2815" t="inlineStr">
        <is>
          <t>main</t>
        </is>
      </c>
      <c r="I2815" t="inlineStr">
        <is>
          <t>opened</t>
        </is>
      </c>
      <c r="J2815" t="inlineStr">
        <is>
          <t>62610f2fcf05550ad6d8ae4c7fb1810ed79d5dd5</t>
        </is>
      </c>
      <c r="K2815">
        <f>HYPERLINK("http://gitlab.osmosys.co/talking-buddy/portal/-/merge_requests/90#note_244574", "Avoid this disabling linting please")</f>
        <v/>
      </c>
      <c r="L2815" t="inlineStr">
        <is>
          <t>2025-07-30 23:51:38.817 IST</t>
        </is>
      </c>
      <c r="M2815" t="inlineStr">
        <is>
          <t>Soundariya B</t>
        </is>
      </c>
      <c r="N2815" t="inlineStr">
        <is>
          <t>Yes</t>
        </is>
      </c>
      <c r="O2815" t="inlineStr">
        <is>
          <t>Yes</t>
        </is>
      </c>
      <c r="P2815" t="inlineStr">
        <is>
          <t>Soundariya B</t>
        </is>
      </c>
      <c r="Q2815" t="inlineStr">
        <is>
          <t>Bad</t>
        </is>
      </c>
    </row>
    <row r="2816">
      <c r="A2816" t="inlineStr">
        <is>
          <t>IAM5K</t>
        </is>
      </c>
      <c r="B2816" t="inlineStr">
        <is>
          <t>Sandeep Kumar</t>
        </is>
      </c>
      <c r="C2816" t="inlineStr">
        <is>
          <t>sandeep.k@osmosys.co</t>
        </is>
      </c>
      <c r="D2816" t="inlineStr">
        <is>
          <t>talking-buddy</t>
        </is>
      </c>
      <c r="E2816">
        <f>HYPERLINK("http://gitlab.osmosys.co/talking-buddy/portal", "portal")</f>
        <v/>
      </c>
      <c r="F2816">
        <f>HYPERLINK("http://gitlab.osmosys.co/talking-buddy/portal/-/merge_requests/90", "feat: create generic support detail page")</f>
        <v/>
      </c>
      <c r="G2816" t="inlineStr">
        <is>
          <t>TKBT-534</t>
        </is>
      </c>
      <c r="H2816" t="inlineStr">
        <is>
          <t>main</t>
        </is>
      </c>
      <c r="I2816" t="inlineStr">
        <is>
          <t>opened</t>
        </is>
      </c>
      <c r="J2816" t="inlineStr">
        <is>
          <t>62610f2fcf05550ad6d8ae4c7fb1810ed79d5dd5</t>
        </is>
      </c>
      <c r="K2816">
        <f>HYPERLINK("http://gitlab.osmosys.co/talking-buddy/portal/-/merge_requests/90#note_244614", "This function was copied form call-details component. It is now removed and we need to fix it in other component as well. Please add this to to-do")</f>
        <v/>
      </c>
      <c r="L2816" t="inlineStr">
        <is>
          <t>2025-07-31 09:59:40.233 IST</t>
        </is>
      </c>
      <c r="M2816" t="inlineStr">
        <is>
          <t>Sandeep Kumar</t>
        </is>
      </c>
      <c r="N2816" t="inlineStr">
        <is>
          <t>No</t>
        </is>
      </c>
      <c r="O2816" t="inlineStr">
        <is>
          <t>Yes</t>
        </is>
      </c>
      <c r="P2816" t="inlineStr">
        <is>
          <t>Soundariya B</t>
        </is>
      </c>
      <c r="Q2816" t="inlineStr">
        <is>
          <t>Bad</t>
        </is>
      </c>
    </row>
    <row r="2817">
      <c r="A2817" t="inlineStr">
        <is>
          <t>IAM5K</t>
        </is>
      </c>
      <c r="B2817" t="inlineStr">
        <is>
          <t>Sandeep Kumar</t>
        </is>
      </c>
      <c r="C2817" t="inlineStr">
        <is>
          <t>sandeep.k@osmosys.co</t>
        </is>
      </c>
      <c r="D2817" t="inlineStr">
        <is>
          <t>talking-buddy</t>
        </is>
      </c>
      <c r="E2817">
        <f>HYPERLINK("http://gitlab.osmosys.co/talking-buddy/portal", "portal")</f>
        <v/>
      </c>
      <c r="F2817">
        <f>HYPERLINK("http://gitlab.osmosys.co/talking-buddy/portal/-/merge_requests/90", "feat: create generic support detail page")</f>
        <v/>
      </c>
      <c r="G2817" t="inlineStr">
        <is>
          <t>TKBT-534</t>
        </is>
      </c>
      <c r="H2817" t="inlineStr">
        <is>
          <t>main</t>
        </is>
      </c>
      <c r="I2817" t="inlineStr">
        <is>
          <t>opened</t>
        </is>
      </c>
      <c r="J2817" t="inlineStr">
        <is>
          <t>62610f2fcf05550ad6d8ae4c7fb1810ed79d5dd5</t>
        </is>
      </c>
      <c r="K2817">
        <f>HYPERLINK("http://gitlab.osmosys.co/talking-buddy/portal/-/merge_requests/90#note_244994", "If it takes time and need to fix across the component then please to your to-do and later we can work this as improvement")</f>
        <v/>
      </c>
      <c r="L2817" t="inlineStr">
        <is>
          <t>2025-07-31 15:32:53.378 IST</t>
        </is>
      </c>
      <c r="M2817" t="inlineStr">
        <is>
          <t>Soundariya B</t>
        </is>
      </c>
      <c r="N2817" t="inlineStr">
        <is>
          <t>Yes</t>
        </is>
      </c>
      <c r="O2817" t="inlineStr">
        <is>
          <t>Yes</t>
        </is>
      </c>
      <c r="P2817" t="inlineStr">
        <is>
          <t>Soundariya B</t>
        </is>
      </c>
      <c r="Q2817" t="inlineStr">
        <is>
          <t>Bad</t>
        </is>
      </c>
    </row>
    <row r="2818">
      <c r="A2818" t="inlineStr">
        <is>
          <t>IAM5K</t>
        </is>
      </c>
      <c r="B2818" t="inlineStr">
        <is>
          <t>Sandeep Kumar</t>
        </is>
      </c>
      <c r="C2818" t="inlineStr">
        <is>
          <t>sandeep.k@osmosys.co</t>
        </is>
      </c>
      <c r="D2818" t="inlineStr">
        <is>
          <t>talking-buddy</t>
        </is>
      </c>
      <c r="E2818">
        <f>HYPERLINK("http://gitlab.osmosys.co/talking-buddy/portal", "portal")</f>
        <v/>
      </c>
      <c r="F2818">
        <f>HYPERLINK("http://gitlab.osmosys.co/talking-buddy/portal/-/merge_requests/90", "feat: create generic support detail page")</f>
        <v/>
      </c>
      <c r="G2818" t="inlineStr">
        <is>
          <t>TKBT-534</t>
        </is>
      </c>
      <c r="H2818" t="inlineStr">
        <is>
          <t>main</t>
        </is>
      </c>
      <c r="I2818" t="inlineStr">
        <is>
          <t>opened</t>
        </is>
      </c>
      <c r="J2818" t="inlineStr">
        <is>
          <t>62610f2fcf05550ad6d8ae4c7fb1810ed79d5dd5</t>
        </is>
      </c>
      <c r="K2818">
        <f>HYPERLINK("http://gitlab.osmosys.co/talking-buddy/portal/-/merge_requests/90#note_245008", "Ok changes are reflecting now and its fine")</f>
        <v/>
      </c>
      <c r="L2818" t="inlineStr">
        <is>
          <t>2025-07-31 15:42:11.731 IST</t>
        </is>
      </c>
      <c r="M2818" t="inlineStr">
        <is>
          <t>Soundariya B</t>
        </is>
      </c>
      <c r="N2818" t="inlineStr">
        <is>
          <t>Yes</t>
        </is>
      </c>
      <c r="O2818" t="inlineStr">
        <is>
          <t>Yes</t>
        </is>
      </c>
      <c r="P2818" t="inlineStr">
        <is>
          <t>Soundariya B</t>
        </is>
      </c>
      <c r="Q2818" t="inlineStr">
        <is>
          <t>Bad</t>
        </is>
      </c>
    </row>
    <row r="2819">
      <c r="A2819" t="inlineStr">
        <is>
          <t>IAM5K</t>
        </is>
      </c>
      <c r="B2819" t="inlineStr">
        <is>
          <t>Sandeep Kumar</t>
        </is>
      </c>
      <c r="C2819" t="inlineStr">
        <is>
          <t>sandeep.k@osmosys.co</t>
        </is>
      </c>
      <c r="D2819" t="inlineStr">
        <is>
          <t>talking-buddy</t>
        </is>
      </c>
      <c r="E2819">
        <f>HYPERLINK("http://gitlab.osmosys.co/talking-buddy/portal", "portal")</f>
        <v/>
      </c>
      <c r="F2819">
        <f>HYPERLINK("http://gitlab.osmosys.co/talking-buddy/portal/-/merge_requests/90", "feat: create generic support detail page")</f>
        <v/>
      </c>
      <c r="G2819" t="inlineStr">
        <is>
          <t>TKBT-534</t>
        </is>
      </c>
      <c r="H2819" t="inlineStr">
        <is>
          <t>main</t>
        </is>
      </c>
      <c r="I2819" t="inlineStr">
        <is>
          <t>opened</t>
        </is>
      </c>
      <c r="J2819" t="inlineStr">
        <is>
          <t>e25c52108941f30a56a64848f2bb01c99d30eeb7</t>
        </is>
      </c>
      <c r="K2819">
        <f>HYPERLINK("http://gitlab.osmosys.co/talking-buddy/portal/-/merge_requests/90#note_244575", "No error block, please fix it")</f>
        <v/>
      </c>
      <c r="L2819" t="inlineStr">
        <is>
          <t>2025-07-30 23:51:38.871 IST</t>
        </is>
      </c>
      <c r="M2819" t="inlineStr">
        <is>
          <t>Soundariya B</t>
        </is>
      </c>
      <c r="N2819" t="inlineStr">
        <is>
          <t>Yes</t>
        </is>
      </c>
      <c r="O2819" t="inlineStr">
        <is>
          <t>Yes</t>
        </is>
      </c>
      <c r="P2819" t="inlineStr">
        <is>
          <t>Soundariya B</t>
        </is>
      </c>
      <c r="Q2819" t="inlineStr">
        <is>
          <t>Bad</t>
        </is>
      </c>
    </row>
    <row r="2820">
      <c r="A2820" t="inlineStr">
        <is>
          <t>IAM5K</t>
        </is>
      </c>
      <c r="B2820" t="inlineStr">
        <is>
          <t>Sandeep Kumar</t>
        </is>
      </c>
      <c r="C2820" t="inlineStr">
        <is>
          <t>sandeep.k@osmosys.co</t>
        </is>
      </c>
      <c r="D2820" t="inlineStr">
        <is>
          <t>talking-buddy</t>
        </is>
      </c>
      <c r="E2820">
        <f>HYPERLINK("http://gitlab.osmosys.co/talking-buddy/portal", "portal")</f>
        <v/>
      </c>
      <c r="F2820">
        <f>HYPERLINK("http://gitlab.osmosys.co/talking-buddy/portal/-/merge_requests/90", "feat: create generic support detail page")</f>
        <v/>
      </c>
      <c r="G2820" t="inlineStr">
        <is>
          <t>TKBT-534</t>
        </is>
      </c>
      <c r="H2820" t="inlineStr">
        <is>
          <t>main</t>
        </is>
      </c>
      <c r="I2820" t="inlineStr">
        <is>
          <t>opened</t>
        </is>
      </c>
      <c r="J2820" t="inlineStr">
        <is>
          <t>e25c52108941f30a56a64848f2bb01c99d30eeb7</t>
        </is>
      </c>
      <c r="K2820">
        <f>HYPERLINK("http://gitlab.osmosys.co/talking-buddy/portal/-/merge_requests/90#note_244609", "Based on the current UI, I am removing the function as it is not required in this page.
However this same problem can be seen in old code so we need to fix that as well. If time and budget permits later.
![image](/uploads/030e7ad9534a25c5ff179cd6852d8aad/image.png){width=635 height=141}
cc: @RajKumar @anand.p")</f>
        <v/>
      </c>
      <c r="L2820" t="inlineStr">
        <is>
          <t>2025-07-31 09:52:23.980 IST</t>
        </is>
      </c>
      <c r="M2820" t="inlineStr">
        <is>
          <t>Sandeep Kumar</t>
        </is>
      </c>
      <c r="N2820" t="inlineStr">
        <is>
          <t>No</t>
        </is>
      </c>
      <c r="O2820" t="inlineStr">
        <is>
          <t>Yes</t>
        </is>
      </c>
      <c r="P2820" t="inlineStr">
        <is>
          <t>Soundariya B</t>
        </is>
      </c>
      <c r="Q2820" t="inlineStr">
        <is>
          <t>Bad</t>
        </is>
      </c>
    </row>
    <row r="2821">
      <c r="A2821" t="inlineStr">
        <is>
          <t>IAM5K</t>
        </is>
      </c>
      <c r="B2821" t="inlineStr">
        <is>
          <t>Sandeep Kumar</t>
        </is>
      </c>
      <c r="C2821" t="inlineStr">
        <is>
          <t>sandeep.k@osmosys.co</t>
        </is>
      </c>
      <c r="D2821" t="inlineStr">
        <is>
          <t>talking-buddy</t>
        </is>
      </c>
      <c r="E2821">
        <f>HYPERLINK("http://gitlab.osmosys.co/talking-buddy/portal", "portal")</f>
        <v/>
      </c>
      <c r="F2821">
        <f>HYPERLINK("http://gitlab.osmosys.co/talking-buddy/portal/-/merge_requests/90", "feat: create generic support detail page")</f>
        <v/>
      </c>
      <c r="G2821" t="inlineStr">
        <is>
          <t>TKBT-534</t>
        </is>
      </c>
      <c r="H2821" t="inlineStr">
        <is>
          <t>main</t>
        </is>
      </c>
      <c r="I2821" t="inlineStr">
        <is>
          <t>opened</t>
        </is>
      </c>
      <c r="J2821" t="inlineStr">
        <is>
          <t>e25c52108941f30a56a64848f2bb01c99d30eeb7</t>
        </is>
      </c>
      <c r="K2821">
        <f>HYPERLINK("http://gitlab.osmosys.co/talking-buddy/portal/-/merge_requests/90#note_244995", "Please ref this SS what I meant
If this function is using anymore then remove it if its not required
![image.png](/uploads/09acae225bf746dadbebc158c8c74da2/image.png)")</f>
        <v/>
      </c>
      <c r="L2821" t="inlineStr">
        <is>
          <t>2025-07-31 15:35:14.712 IST</t>
        </is>
      </c>
      <c r="M2821" t="inlineStr">
        <is>
          <t>Soundariya B</t>
        </is>
      </c>
      <c r="N2821" t="inlineStr">
        <is>
          <t>Yes</t>
        </is>
      </c>
      <c r="O2821" t="inlineStr">
        <is>
          <t>Yes</t>
        </is>
      </c>
      <c r="P2821" t="inlineStr">
        <is>
          <t>Soundariya B</t>
        </is>
      </c>
      <c r="Q2821" t="inlineStr">
        <is>
          <t>Bad</t>
        </is>
      </c>
    </row>
    <row r="2822">
      <c r="A2822" t="inlineStr">
        <is>
          <t>IAM5K</t>
        </is>
      </c>
      <c r="B2822" t="inlineStr">
        <is>
          <t>Sandeep Kumar</t>
        </is>
      </c>
      <c r="C2822" t="inlineStr">
        <is>
          <t>sandeep.k@osmosys.co</t>
        </is>
      </c>
      <c r="D2822" t="inlineStr">
        <is>
          <t>talking-buddy</t>
        </is>
      </c>
      <c r="E2822">
        <f>HYPERLINK("http://gitlab.osmosys.co/talking-buddy/portal", "portal")</f>
        <v/>
      </c>
      <c r="F2822">
        <f>HYPERLINK("http://gitlab.osmosys.co/talking-buddy/portal/-/merge_requests/90", "feat: create generic support detail page")</f>
        <v/>
      </c>
      <c r="G2822" t="inlineStr">
        <is>
          <t>TKBT-534</t>
        </is>
      </c>
      <c r="H2822" t="inlineStr">
        <is>
          <t>main</t>
        </is>
      </c>
      <c r="I2822" t="inlineStr">
        <is>
          <t>opened</t>
        </is>
      </c>
      <c r="J2822" t="inlineStr">
        <is>
          <t>e25c52108941f30a56a64848f2bb01c99d30eeb7</t>
        </is>
      </c>
      <c r="K2822">
        <f>HYPERLINK("http://gitlab.osmosys.co/talking-buddy/portal/-/merge_requests/90#note_245007", "Ok changes are reflecting now and its fine")</f>
        <v/>
      </c>
      <c r="L2822" t="inlineStr">
        <is>
          <t>2025-07-31 15:41:59.828 IST</t>
        </is>
      </c>
      <c r="M2822" t="inlineStr">
        <is>
          <t>Soundariya B</t>
        </is>
      </c>
      <c r="N2822" t="inlineStr">
        <is>
          <t>Yes</t>
        </is>
      </c>
      <c r="O2822" t="inlineStr">
        <is>
          <t>Yes</t>
        </is>
      </c>
      <c r="P2822" t="inlineStr">
        <is>
          <t>Soundariya B</t>
        </is>
      </c>
      <c r="Q2822" t="inlineStr">
        <is>
          <t>Bad</t>
        </is>
      </c>
    </row>
    <row r="2823">
      <c r="A2823" t="inlineStr">
        <is>
          <t>IAM5K</t>
        </is>
      </c>
      <c r="B2823" t="inlineStr">
        <is>
          <t>Sandeep Kumar</t>
        </is>
      </c>
      <c r="C2823" t="inlineStr">
        <is>
          <t>sandeep.k@osmosys.co</t>
        </is>
      </c>
      <c r="D2823" t="inlineStr">
        <is>
          <t>talking-buddy</t>
        </is>
      </c>
      <c r="E2823">
        <f>HYPERLINK("http://gitlab.osmosys.co/talking-buddy/portal", "portal")</f>
        <v/>
      </c>
      <c r="F2823">
        <f>HYPERLINK("http://gitlab.osmosys.co/talking-buddy/portal/-/merge_requests/90", "feat: create generic support detail page")</f>
        <v/>
      </c>
      <c r="G2823" t="inlineStr">
        <is>
          <t>TKBT-534</t>
        </is>
      </c>
      <c r="H2823" t="inlineStr">
        <is>
          <t>main</t>
        </is>
      </c>
      <c r="I2823" t="inlineStr">
        <is>
          <t>opened</t>
        </is>
      </c>
      <c r="J2823" t="inlineStr">
        <is>
          <t>55f9e8a3432911794578b0657a14cc10111f6aa2</t>
        </is>
      </c>
      <c r="K2823">
        <f>HYPERLINK("http://gitlab.osmosys.co/talking-buddy/portal/-/merge_requests/90#note_244576", "This api integration same business logic using more than 1 time, so please fix and make it dynamic.")</f>
        <v/>
      </c>
      <c r="L2823" t="inlineStr">
        <is>
          <t>2025-07-30 23:51:38.925 IST</t>
        </is>
      </c>
      <c r="M2823" t="inlineStr">
        <is>
          <t>Soundariya B</t>
        </is>
      </c>
      <c r="N2823" t="inlineStr">
        <is>
          <t>Yes</t>
        </is>
      </c>
      <c r="O2823" t="inlineStr">
        <is>
          <t>Yes</t>
        </is>
      </c>
      <c r="P2823" t="inlineStr">
        <is>
          <t>Soundariya B</t>
        </is>
      </c>
      <c r="Q2823" t="inlineStr">
        <is>
          <t>Bad</t>
        </is>
      </c>
    </row>
    <row r="2824">
      <c r="A2824" t="inlineStr">
        <is>
          <t>IAM5K</t>
        </is>
      </c>
      <c r="B2824" t="inlineStr">
        <is>
          <t>Sandeep Kumar</t>
        </is>
      </c>
      <c r="C2824" t="inlineStr">
        <is>
          <t>sandeep.k@osmosys.co</t>
        </is>
      </c>
      <c r="D2824" t="inlineStr">
        <is>
          <t>talking-buddy</t>
        </is>
      </c>
      <c r="E2824">
        <f>HYPERLINK("http://gitlab.osmosys.co/talking-buddy/portal", "portal")</f>
        <v/>
      </c>
      <c r="F2824">
        <f>HYPERLINK("http://gitlab.osmosys.co/talking-buddy/portal/-/merge_requests/90", "feat: create generic support detail page")</f>
        <v/>
      </c>
      <c r="G2824" t="inlineStr">
        <is>
          <t>TKBT-534</t>
        </is>
      </c>
      <c r="H2824" t="inlineStr">
        <is>
          <t>main</t>
        </is>
      </c>
      <c r="I2824" t="inlineStr">
        <is>
          <t>opened</t>
        </is>
      </c>
      <c r="J2824" t="inlineStr">
        <is>
          <t>55f9e8a3432911794578b0657a14cc10111f6aa2</t>
        </is>
      </c>
      <c r="K2824">
        <f>HYPERLINK("http://gitlab.osmosys.co/talking-buddy/portal/-/merge_requests/90#note_244610", "Removed this from current code.")</f>
        <v/>
      </c>
      <c r="L2824" t="inlineStr">
        <is>
          <t>2025-07-31 09:53:17.506 IST</t>
        </is>
      </c>
      <c r="M2824" t="inlineStr">
        <is>
          <t>Sandeep Kumar</t>
        </is>
      </c>
      <c r="N2824" t="inlineStr">
        <is>
          <t>No</t>
        </is>
      </c>
      <c r="O2824" t="inlineStr">
        <is>
          <t>Yes</t>
        </is>
      </c>
      <c r="P2824" t="inlineStr">
        <is>
          <t>Soundariya B</t>
        </is>
      </c>
      <c r="Q2824" t="inlineStr">
        <is>
          <t>Bad</t>
        </is>
      </c>
    </row>
    <row r="2825">
      <c r="A2825" t="inlineStr">
        <is>
          <t>IAM5K</t>
        </is>
      </c>
      <c r="B2825" t="inlineStr">
        <is>
          <t>Sandeep Kumar</t>
        </is>
      </c>
      <c r="C2825" t="inlineStr">
        <is>
          <t>sandeep.k@osmosys.co</t>
        </is>
      </c>
      <c r="D2825" t="inlineStr">
        <is>
          <t>talking-buddy</t>
        </is>
      </c>
      <c r="E2825">
        <f>HYPERLINK("http://gitlab.osmosys.co/talking-buddy/portal", "portal")</f>
        <v/>
      </c>
      <c r="F2825">
        <f>HYPERLINK("http://gitlab.osmosys.co/talking-buddy/portal/-/merge_requests/90", "feat: create generic support detail page")</f>
        <v/>
      </c>
      <c r="G2825" t="inlineStr">
        <is>
          <t>TKBT-534</t>
        </is>
      </c>
      <c r="H2825" t="inlineStr">
        <is>
          <t>main</t>
        </is>
      </c>
      <c r="I2825" t="inlineStr">
        <is>
          <t>opened</t>
        </is>
      </c>
      <c r="J2825" t="inlineStr">
        <is>
          <t>55f9e8a3432911794578b0657a14cc10111f6aa2</t>
        </is>
      </c>
      <c r="K2825">
        <f>HYPERLINK("http://gitlab.osmosys.co/talking-buddy/portal/-/merge_requests/90#note_244996", "Ok but the changes are not reflecting please check once again and push the code")</f>
        <v/>
      </c>
      <c r="L2825" t="inlineStr">
        <is>
          <t>2025-07-31 15:35:35.927 IST</t>
        </is>
      </c>
      <c r="M2825" t="inlineStr">
        <is>
          <t>Soundariya B</t>
        </is>
      </c>
      <c r="N2825" t="inlineStr">
        <is>
          <t>Yes</t>
        </is>
      </c>
      <c r="O2825" t="inlineStr">
        <is>
          <t>Yes</t>
        </is>
      </c>
      <c r="P2825" t="inlineStr">
        <is>
          <t>Soundariya B</t>
        </is>
      </c>
      <c r="Q2825" t="inlineStr">
        <is>
          <t>Bad</t>
        </is>
      </c>
    </row>
    <row r="2826">
      <c r="A2826" t="inlineStr">
        <is>
          <t>IAM5K</t>
        </is>
      </c>
      <c r="B2826" t="inlineStr">
        <is>
          <t>Sandeep Kumar</t>
        </is>
      </c>
      <c r="C2826" t="inlineStr">
        <is>
          <t>sandeep.k@osmosys.co</t>
        </is>
      </c>
      <c r="D2826" t="inlineStr">
        <is>
          <t>talking-buddy</t>
        </is>
      </c>
      <c r="E2826">
        <f>HYPERLINK("http://gitlab.osmosys.co/talking-buddy/portal", "portal")</f>
        <v/>
      </c>
      <c r="F2826">
        <f>HYPERLINK("http://gitlab.osmosys.co/talking-buddy/portal/-/merge_requests/90", "feat: create generic support detail page")</f>
        <v/>
      </c>
      <c r="G2826" t="inlineStr">
        <is>
          <t>TKBT-534</t>
        </is>
      </c>
      <c r="H2826" t="inlineStr">
        <is>
          <t>main</t>
        </is>
      </c>
      <c r="I2826" t="inlineStr">
        <is>
          <t>opened</t>
        </is>
      </c>
      <c r="J2826" t="inlineStr">
        <is>
          <t>55f9e8a3432911794578b0657a14cc10111f6aa2</t>
        </is>
      </c>
      <c r="K2826">
        <f>HYPERLINK("http://gitlab.osmosys.co/talking-buddy/portal/-/merge_requests/90#note_245006", "Ok changes are reflecting now and its fine")</f>
        <v/>
      </c>
      <c r="L2826" t="inlineStr">
        <is>
          <t>2025-07-31 15:41:36.220 IST</t>
        </is>
      </c>
      <c r="M2826" t="inlineStr">
        <is>
          <t>Soundariya B</t>
        </is>
      </c>
      <c r="N2826" t="inlineStr">
        <is>
          <t>Yes</t>
        </is>
      </c>
      <c r="O2826" t="inlineStr">
        <is>
          <t>Yes</t>
        </is>
      </c>
      <c r="P2826" t="inlineStr">
        <is>
          <t>Soundariya B</t>
        </is>
      </c>
      <c r="Q2826" t="inlineStr">
        <is>
          <t>Bad</t>
        </is>
      </c>
    </row>
    <row r="2827">
      <c r="A2827" t="inlineStr">
        <is>
          <t>IAM5K</t>
        </is>
      </c>
      <c r="B2827" t="inlineStr">
        <is>
          <t>Sandeep Kumar</t>
        </is>
      </c>
      <c r="C2827" t="inlineStr">
        <is>
          <t>sandeep.k@osmosys.co</t>
        </is>
      </c>
      <c r="D2827" t="inlineStr">
        <is>
          <t>talking-buddy</t>
        </is>
      </c>
      <c r="E2827">
        <f>HYPERLINK("http://gitlab.osmosys.co/talking-buddy/portal", "portal")</f>
        <v/>
      </c>
      <c r="F2827">
        <f>HYPERLINK("http://gitlab.osmosys.co/talking-buddy/portal/-/merge_requests/90", "feat: create generic support detail page")</f>
        <v/>
      </c>
      <c r="G2827" t="inlineStr">
        <is>
          <t>TKBT-534</t>
        </is>
      </c>
      <c r="H2827" t="inlineStr">
        <is>
          <t>main</t>
        </is>
      </c>
      <c r="I2827" t="inlineStr">
        <is>
          <t>opened</t>
        </is>
      </c>
      <c r="J2827" t="inlineStr">
        <is>
          <t>b1a8abc140c0baca13ba23bc524dd667fa1496a9</t>
        </is>
      </c>
      <c r="K2827">
        <f>HYPERLINK("http://gitlab.osmosys.co/talking-buddy/portal/-/merge_requests/90#note_244577", "Use block structure")</f>
        <v/>
      </c>
      <c r="L2827" t="inlineStr">
        <is>
          <t>2025-07-30 23:51:38.981 IST</t>
        </is>
      </c>
      <c r="M2827" t="inlineStr">
        <is>
          <t>Soundariya B</t>
        </is>
      </c>
      <c r="N2827" t="inlineStr">
        <is>
          <t>Yes</t>
        </is>
      </c>
      <c r="O2827" t="inlineStr">
        <is>
          <t>Yes</t>
        </is>
      </c>
      <c r="P2827" t="inlineStr">
        <is>
          <t>Soundariya B</t>
        </is>
      </c>
      <c r="Q2827" t="inlineStr">
        <is>
          <t>Bad</t>
        </is>
      </c>
    </row>
    <row r="2828">
      <c r="A2828" t="inlineStr">
        <is>
          <t>IAM5K</t>
        </is>
      </c>
      <c r="B2828" t="inlineStr">
        <is>
          <t>Sandeep Kumar</t>
        </is>
      </c>
      <c r="C2828" t="inlineStr">
        <is>
          <t>sandeep.k@osmosys.co</t>
        </is>
      </c>
      <c r="D2828" t="inlineStr">
        <is>
          <t>talking-buddy</t>
        </is>
      </c>
      <c r="E2828">
        <f>HYPERLINK("http://gitlab.osmosys.co/talking-buddy/portal", "portal")</f>
        <v/>
      </c>
      <c r="F2828">
        <f>HYPERLINK("http://gitlab.osmosys.co/talking-buddy/portal/-/merge_requests/90", "feat: create generic support detail page")</f>
        <v/>
      </c>
      <c r="G2828" t="inlineStr">
        <is>
          <t>TKBT-534</t>
        </is>
      </c>
      <c r="H2828" t="inlineStr">
        <is>
          <t>main</t>
        </is>
      </c>
      <c r="I2828" t="inlineStr">
        <is>
          <t>opened</t>
        </is>
      </c>
      <c r="J2828" t="inlineStr">
        <is>
          <t>b1a8abc140c0baca13ba23bc524dd667fa1496a9</t>
        </is>
      </c>
      <c r="K2828">
        <f>HYPERLINK("http://gitlab.osmosys.co/talking-buddy/portal/-/merge_requests/90#note_244611", "Removed this function.")</f>
        <v/>
      </c>
      <c r="L2828" t="inlineStr">
        <is>
          <t>2025-07-31 09:53:56.738 IST</t>
        </is>
      </c>
      <c r="M2828" t="inlineStr">
        <is>
          <t>Sandeep Kumar</t>
        </is>
      </c>
      <c r="N2828" t="inlineStr">
        <is>
          <t>No</t>
        </is>
      </c>
      <c r="O2828" t="inlineStr">
        <is>
          <t>Yes</t>
        </is>
      </c>
      <c r="P2828" t="inlineStr">
        <is>
          <t>Soundariya B</t>
        </is>
      </c>
      <c r="Q2828" t="inlineStr">
        <is>
          <t>Bad</t>
        </is>
      </c>
    </row>
    <row r="2829">
      <c r="A2829" t="inlineStr">
        <is>
          <t>IAM5K</t>
        </is>
      </c>
      <c r="B2829" t="inlineStr">
        <is>
          <t>Sandeep Kumar</t>
        </is>
      </c>
      <c r="C2829" t="inlineStr">
        <is>
          <t>sandeep.k@osmosys.co</t>
        </is>
      </c>
      <c r="D2829" t="inlineStr">
        <is>
          <t>talking-buddy</t>
        </is>
      </c>
      <c r="E2829">
        <f>HYPERLINK("http://gitlab.osmosys.co/talking-buddy/portal", "portal")</f>
        <v/>
      </c>
      <c r="F2829">
        <f>HYPERLINK("http://gitlab.osmosys.co/talking-buddy/portal/-/merge_requests/90", "feat: create generic support detail page")</f>
        <v/>
      </c>
      <c r="G2829" t="inlineStr">
        <is>
          <t>TKBT-534</t>
        </is>
      </c>
      <c r="H2829" t="inlineStr">
        <is>
          <t>main</t>
        </is>
      </c>
      <c r="I2829" t="inlineStr">
        <is>
          <t>opened</t>
        </is>
      </c>
      <c r="J2829" t="inlineStr">
        <is>
          <t>b1a8abc140c0baca13ba23bc524dd667fa1496a9</t>
        </is>
      </c>
      <c r="K2829">
        <f>HYPERLINK("http://gitlab.osmosys.co/talking-buddy/portal/-/merge_requests/90#note_244998", "Ok but the changes are not reflecting please check once again and push the code")</f>
        <v/>
      </c>
      <c r="L2829" t="inlineStr">
        <is>
          <t>2025-07-31 15:36:02.880 IST</t>
        </is>
      </c>
      <c r="M2829" t="inlineStr">
        <is>
          <t>Soundariya B</t>
        </is>
      </c>
      <c r="N2829" t="inlineStr">
        <is>
          <t>Yes</t>
        </is>
      </c>
      <c r="O2829" t="inlineStr">
        <is>
          <t>Yes</t>
        </is>
      </c>
      <c r="P2829" t="inlineStr">
        <is>
          <t>Soundariya B</t>
        </is>
      </c>
      <c r="Q2829" t="inlineStr">
        <is>
          <t>Bad</t>
        </is>
      </c>
    </row>
    <row r="2830">
      <c r="A2830" t="inlineStr">
        <is>
          <t>IAM5K</t>
        </is>
      </c>
      <c r="B2830" t="inlineStr">
        <is>
          <t>Sandeep Kumar</t>
        </is>
      </c>
      <c r="C2830" t="inlineStr">
        <is>
          <t>sandeep.k@osmosys.co</t>
        </is>
      </c>
      <c r="D2830" t="inlineStr">
        <is>
          <t>talking-buddy</t>
        </is>
      </c>
      <c r="E2830">
        <f>HYPERLINK("http://gitlab.osmosys.co/talking-buddy/portal", "portal")</f>
        <v/>
      </c>
      <c r="F2830">
        <f>HYPERLINK("http://gitlab.osmosys.co/talking-buddy/portal/-/merge_requests/90", "feat: create generic support detail page")</f>
        <v/>
      </c>
      <c r="G2830" t="inlineStr">
        <is>
          <t>TKBT-534</t>
        </is>
      </c>
      <c r="H2830" t="inlineStr">
        <is>
          <t>main</t>
        </is>
      </c>
      <c r="I2830" t="inlineStr">
        <is>
          <t>opened</t>
        </is>
      </c>
      <c r="J2830" t="inlineStr">
        <is>
          <t>3815f157623d29febd16b753f3c789c9a7ed1781</t>
        </is>
      </c>
      <c r="K2830">
        <f>HYPERLINK("http://gitlab.osmosys.co/talking-buddy/portal/-/merge_requests/90#note_244578", "This method is not using anywhere I believe as its showing 1 occurrence so can you remove or fix it")</f>
        <v/>
      </c>
      <c r="L2830" t="inlineStr">
        <is>
          <t>2025-07-30 23:51:39.034 IST</t>
        </is>
      </c>
      <c r="M2830" t="inlineStr">
        <is>
          <t>Soundariya B</t>
        </is>
      </c>
      <c r="N2830" t="inlineStr">
        <is>
          <t>Yes</t>
        </is>
      </c>
      <c r="O2830" t="inlineStr">
        <is>
          <t>Yes</t>
        </is>
      </c>
      <c r="P2830" t="inlineStr">
        <is>
          <t>Soundariya B</t>
        </is>
      </c>
      <c r="Q2830" t="inlineStr">
        <is>
          <t>Bad</t>
        </is>
      </c>
    </row>
    <row r="2831">
      <c r="A2831" t="inlineStr">
        <is>
          <t>IAM5K</t>
        </is>
      </c>
      <c r="B2831" t="inlineStr">
        <is>
          <t>Sandeep Kumar</t>
        </is>
      </c>
      <c r="C2831" t="inlineStr">
        <is>
          <t>sandeep.k@osmosys.co</t>
        </is>
      </c>
      <c r="D2831" t="inlineStr">
        <is>
          <t>talking-buddy</t>
        </is>
      </c>
      <c r="E2831">
        <f>HYPERLINK("http://gitlab.osmosys.co/talking-buddy/portal", "portal")</f>
        <v/>
      </c>
      <c r="F2831">
        <f>HYPERLINK("http://gitlab.osmosys.co/talking-buddy/portal/-/merge_requests/90", "feat: create generic support detail page")</f>
        <v/>
      </c>
      <c r="G2831" t="inlineStr">
        <is>
          <t>TKBT-534</t>
        </is>
      </c>
      <c r="H2831" t="inlineStr">
        <is>
          <t>main</t>
        </is>
      </c>
      <c r="I2831" t="inlineStr">
        <is>
          <t>opened</t>
        </is>
      </c>
      <c r="J2831" t="inlineStr">
        <is>
          <t>3815f157623d29febd16b753f3c789c9a7ed1781</t>
        </is>
      </c>
      <c r="K2831">
        <f>HYPERLINK("http://gitlab.osmosys.co/talking-buddy/portal/-/merge_requests/90#note_244612", "Removed this function.")</f>
        <v/>
      </c>
      <c r="L2831" t="inlineStr">
        <is>
          <t>2025-07-31 09:54:12.198 IST</t>
        </is>
      </c>
      <c r="M2831" t="inlineStr">
        <is>
          <t>Sandeep Kumar</t>
        </is>
      </c>
      <c r="N2831" t="inlineStr">
        <is>
          <t>No</t>
        </is>
      </c>
      <c r="O2831" t="inlineStr">
        <is>
          <t>Yes</t>
        </is>
      </c>
      <c r="P2831" t="inlineStr">
        <is>
          <t>Soundariya B</t>
        </is>
      </c>
      <c r="Q2831" t="inlineStr">
        <is>
          <t>Bad</t>
        </is>
      </c>
    </row>
    <row r="2832">
      <c r="A2832" t="inlineStr">
        <is>
          <t>IAM5K</t>
        </is>
      </c>
      <c r="B2832" t="inlineStr">
        <is>
          <t>Sandeep Kumar</t>
        </is>
      </c>
      <c r="C2832" t="inlineStr">
        <is>
          <t>sandeep.k@osmosys.co</t>
        </is>
      </c>
      <c r="D2832" t="inlineStr">
        <is>
          <t>talking-buddy</t>
        </is>
      </c>
      <c r="E2832">
        <f>HYPERLINK("http://gitlab.osmosys.co/talking-buddy/portal", "portal")</f>
        <v/>
      </c>
      <c r="F2832">
        <f>HYPERLINK("http://gitlab.osmosys.co/talking-buddy/portal/-/merge_requests/90", "feat: create generic support detail page")</f>
        <v/>
      </c>
      <c r="G2832" t="inlineStr">
        <is>
          <t>TKBT-534</t>
        </is>
      </c>
      <c r="H2832" t="inlineStr">
        <is>
          <t>main</t>
        </is>
      </c>
      <c r="I2832" t="inlineStr">
        <is>
          <t>opened</t>
        </is>
      </c>
      <c r="J2832" t="inlineStr">
        <is>
          <t>3815f157623d29febd16b753f3c789c9a7ed1781</t>
        </is>
      </c>
      <c r="K2832">
        <f>HYPERLINK("http://gitlab.osmosys.co/talking-buddy/portal/-/merge_requests/90#note_244997", "Ok but the changes are not reflecting please check once again and push the code")</f>
        <v/>
      </c>
      <c r="L2832" t="inlineStr">
        <is>
          <t>2025-07-31 15:35:50.184 IST</t>
        </is>
      </c>
      <c r="M2832" t="inlineStr">
        <is>
          <t>Soundariya B</t>
        </is>
      </c>
      <c r="N2832" t="inlineStr">
        <is>
          <t>Yes</t>
        </is>
      </c>
      <c r="O2832" t="inlineStr">
        <is>
          <t>Yes</t>
        </is>
      </c>
      <c r="P2832" t="inlineStr">
        <is>
          <t>Soundariya B</t>
        </is>
      </c>
      <c r="Q2832" t="inlineStr">
        <is>
          <t>Bad</t>
        </is>
      </c>
    </row>
    <row r="2833">
      <c r="A2833" t="inlineStr">
        <is>
          <t>IAM5K</t>
        </is>
      </c>
      <c r="B2833" t="inlineStr">
        <is>
          <t>Sandeep Kumar</t>
        </is>
      </c>
      <c r="C2833" t="inlineStr">
        <is>
          <t>sandeep.k@osmosys.co</t>
        </is>
      </c>
      <c r="D2833" t="inlineStr">
        <is>
          <t>talking-buddy</t>
        </is>
      </c>
      <c r="E2833">
        <f>HYPERLINK("http://gitlab.osmosys.co/talking-buddy/portal", "portal")</f>
        <v/>
      </c>
      <c r="F2833">
        <f>HYPERLINK("http://gitlab.osmosys.co/talking-buddy/portal/-/merge_requests/90", "feat: create generic support detail page")</f>
        <v/>
      </c>
      <c r="G2833" t="inlineStr">
        <is>
          <t>TKBT-534</t>
        </is>
      </c>
      <c r="H2833" t="inlineStr">
        <is>
          <t>main</t>
        </is>
      </c>
      <c r="I2833" t="inlineStr">
        <is>
          <t>opened</t>
        </is>
      </c>
      <c r="J2833" t="inlineStr">
        <is>
          <t>a921731c7b99b70cf3c098640d37ce66de2f30fb</t>
        </is>
      </c>
      <c r="K2833">
        <f>HYPERLINK("http://gitlab.osmosys.co/talking-buddy/portal/-/merge_requests/90#note_244579", "Why this file needed? I believe these css are not as per the portal theme and styling")</f>
        <v/>
      </c>
      <c r="L2833" t="inlineStr">
        <is>
          <t>2025-07-30 23:51:39.105 IST</t>
        </is>
      </c>
      <c r="M2833" t="inlineStr">
        <is>
          <t>Soundariya B</t>
        </is>
      </c>
      <c r="N2833" t="inlineStr">
        <is>
          <t>Yes</t>
        </is>
      </c>
      <c r="O2833" t="inlineStr">
        <is>
          <t>Yes</t>
        </is>
      </c>
      <c r="P2833" t="inlineStr">
        <is>
          <t>Soundariya B</t>
        </is>
      </c>
      <c r="Q2833" t="inlineStr">
        <is>
          <t>Bad</t>
        </is>
      </c>
    </row>
    <row r="2834">
      <c r="A2834" t="inlineStr">
        <is>
          <t>IAM5K</t>
        </is>
      </c>
      <c r="B2834" t="inlineStr">
        <is>
          <t>Sandeep Kumar</t>
        </is>
      </c>
      <c r="C2834" t="inlineStr">
        <is>
          <t>sandeep.k@osmosys.co</t>
        </is>
      </c>
      <c r="D2834" t="inlineStr">
        <is>
          <t>talking-buddy</t>
        </is>
      </c>
      <c r="E2834">
        <f>HYPERLINK("http://gitlab.osmosys.co/talking-buddy/portal", "portal")</f>
        <v/>
      </c>
      <c r="F2834">
        <f>HYPERLINK("http://gitlab.osmosys.co/talking-buddy/portal/-/merge_requests/90", "feat: create generic support detail page")</f>
        <v/>
      </c>
      <c r="G2834" t="inlineStr">
        <is>
          <t>TKBT-534</t>
        </is>
      </c>
      <c r="H2834" t="inlineStr">
        <is>
          <t>main</t>
        </is>
      </c>
      <c r="I2834" t="inlineStr">
        <is>
          <t>opened</t>
        </is>
      </c>
      <c r="J2834" t="inlineStr">
        <is>
          <t>a921731c7b99b70cf3c098640d37ce66de2f30fb</t>
        </is>
      </c>
      <c r="K2834">
        <f>HYPERLINK("http://gitlab.osmosys.co/talking-buddy/portal/-/merge_requests/90#note_244999", "Not yet fixed and no reply on this")</f>
        <v/>
      </c>
      <c r="L2834" t="inlineStr">
        <is>
          <t>2025-07-31 15:36:38.229 IST</t>
        </is>
      </c>
      <c r="M2834" t="inlineStr">
        <is>
          <t>Soundariya B</t>
        </is>
      </c>
      <c r="N2834" t="inlineStr">
        <is>
          <t>Yes</t>
        </is>
      </c>
      <c r="O2834" t="inlineStr">
        <is>
          <t>Yes</t>
        </is>
      </c>
      <c r="P2834" t="inlineStr">
        <is>
          <t>Soundariya B</t>
        </is>
      </c>
      <c r="Q2834" t="inlineStr">
        <is>
          <t>Bad</t>
        </is>
      </c>
    </row>
    <row r="2835">
      <c r="A2835" t="inlineStr">
        <is>
          <t>IAM5K</t>
        </is>
      </c>
      <c r="B2835" t="inlineStr">
        <is>
          <t>Sandeep Kumar</t>
        </is>
      </c>
      <c r="C2835" t="inlineStr">
        <is>
          <t>sandeep.k@osmosys.co</t>
        </is>
      </c>
      <c r="D2835" t="inlineStr">
        <is>
          <t>talking-buddy</t>
        </is>
      </c>
      <c r="E2835">
        <f>HYPERLINK("http://gitlab.osmosys.co/talking-buddy/portal", "portal")</f>
        <v/>
      </c>
      <c r="F2835">
        <f>HYPERLINK("http://gitlab.osmosys.co/talking-buddy/portal/-/merge_requests/90", "feat: create generic support detail page")</f>
        <v/>
      </c>
      <c r="G2835" t="inlineStr">
        <is>
          <t>TKBT-534</t>
        </is>
      </c>
      <c r="H2835" t="inlineStr">
        <is>
          <t>main</t>
        </is>
      </c>
      <c r="I2835" t="inlineStr">
        <is>
          <t>opened</t>
        </is>
      </c>
      <c r="J2835" t="inlineStr">
        <is>
          <t>92dddfeda422cd1f8fd1428022a3e06ed0f2677c</t>
        </is>
      </c>
      <c r="K2835">
        <f>HYPERLINK("http://gitlab.osmosys.co/talking-buddy/portal/-/merge_requests/90#note_244580", "This not required if needed then add your comment please")</f>
        <v/>
      </c>
      <c r="L2835" t="inlineStr">
        <is>
          <t>2025-07-30 23:51:39.176 IST</t>
        </is>
      </c>
      <c r="M2835" t="inlineStr">
        <is>
          <t>Soundariya B</t>
        </is>
      </c>
      <c r="N2835" t="inlineStr">
        <is>
          <t>Yes</t>
        </is>
      </c>
      <c r="O2835" t="inlineStr">
        <is>
          <t>Yes</t>
        </is>
      </c>
      <c r="P2835" t="inlineStr">
        <is>
          <t>Soundariya B</t>
        </is>
      </c>
      <c r="Q2835" t="inlineStr">
        <is>
          <t>Bad</t>
        </is>
      </c>
    </row>
    <row r="2836">
      <c r="A2836" t="inlineStr">
        <is>
          <t>IAM5K</t>
        </is>
      </c>
      <c r="B2836" t="inlineStr">
        <is>
          <t>Sandeep Kumar</t>
        </is>
      </c>
      <c r="C2836" t="inlineStr">
        <is>
          <t>sandeep.k@osmosys.co</t>
        </is>
      </c>
      <c r="D2836" t="inlineStr">
        <is>
          <t>talking-buddy</t>
        </is>
      </c>
      <c r="E2836">
        <f>HYPERLINK("http://gitlab.osmosys.co/talking-buddy/portal", "portal")</f>
        <v/>
      </c>
      <c r="F2836">
        <f>HYPERLINK("http://gitlab.osmosys.co/talking-buddy/portal/-/merge_requests/90", "feat: create generic support detail page")</f>
        <v/>
      </c>
      <c r="G2836" t="inlineStr">
        <is>
          <t>TKBT-534</t>
        </is>
      </c>
      <c r="H2836" t="inlineStr">
        <is>
          <t>main</t>
        </is>
      </c>
      <c r="I2836" t="inlineStr">
        <is>
          <t>opened</t>
        </is>
      </c>
      <c r="J2836" t="inlineStr">
        <is>
          <t>92dddfeda422cd1f8fd1428022a3e06ed0f2677c</t>
        </is>
      </c>
      <c r="K2836">
        <f>HYPERLINK("http://gitlab.osmosys.co/talking-buddy/portal/-/merge_requests/90#note_245000", "Not yet fixed and no reply on this")</f>
        <v/>
      </c>
      <c r="L2836" t="inlineStr">
        <is>
          <t>2025-07-31 15:37:01.014 IST</t>
        </is>
      </c>
      <c r="M2836" t="inlineStr">
        <is>
          <t>Soundariya B</t>
        </is>
      </c>
      <c r="N2836" t="inlineStr">
        <is>
          <t>Yes</t>
        </is>
      </c>
      <c r="O2836" t="inlineStr">
        <is>
          <t>Yes</t>
        </is>
      </c>
      <c r="P2836" t="inlineStr">
        <is>
          <t>Soundariya B</t>
        </is>
      </c>
      <c r="Q2836" t="inlineStr">
        <is>
          <t>Bad</t>
        </is>
      </c>
    </row>
    <row r="2837">
      <c r="A2837" t="inlineStr">
        <is>
          <t>IAM5K</t>
        </is>
      </c>
      <c r="B2837" t="inlineStr">
        <is>
          <t>Sandeep Kumar</t>
        </is>
      </c>
      <c r="C2837" t="inlineStr">
        <is>
          <t>sandeep.k@osmosys.co</t>
        </is>
      </c>
      <c r="D2837" t="inlineStr">
        <is>
          <t>talking-buddy</t>
        </is>
      </c>
      <c r="E2837">
        <f>HYPERLINK("http://gitlab.osmosys.co/talking-buddy/portal", "portal")</f>
        <v/>
      </c>
      <c r="F2837">
        <f>HYPERLINK("http://gitlab.osmosys.co/talking-buddy/portal/-/merge_requests/90", "feat: create generic support detail page")</f>
        <v/>
      </c>
      <c r="G2837" t="inlineStr">
        <is>
          <t>TKBT-534</t>
        </is>
      </c>
      <c r="H2837" t="inlineStr">
        <is>
          <t>main</t>
        </is>
      </c>
      <c r="I2837" t="inlineStr">
        <is>
          <t>opened</t>
        </is>
      </c>
      <c r="J2837" t="inlineStr">
        <is>
          <t>8326b6229dbe7a1b8ce75552363cff049c181c51</t>
        </is>
      </c>
      <c r="K2837">
        <f>HYPERLINK("http://gitlab.osmosys.co/talking-buddy/portal/-/merge_requests/90#note_245002", "Lint pipeline is failing")</f>
        <v/>
      </c>
      <c r="L2837" t="inlineStr">
        <is>
          <t>2025-07-31 15:39:36.555 IST</t>
        </is>
      </c>
      <c r="M2837" t="inlineStr">
        <is>
          <t>Soundariya B</t>
        </is>
      </c>
      <c r="N2837" t="inlineStr">
        <is>
          <t>Yes</t>
        </is>
      </c>
      <c r="O2837" t="inlineStr">
        <is>
          <t>Yes</t>
        </is>
      </c>
      <c r="P2837" t="inlineStr">
        <is>
          <t>Soundariya B</t>
        </is>
      </c>
      <c r="Q2837" t="inlineStr">
        <is>
          <t>Bad</t>
        </is>
      </c>
    </row>
    <row r="2838">
      <c r="A2838" t="inlineStr">
        <is>
          <t>IAM5K</t>
        </is>
      </c>
      <c r="B2838" t="inlineStr">
        <is>
          <t>Sandeep Kumar</t>
        </is>
      </c>
      <c r="C2838" t="inlineStr">
        <is>
          <t>sandeep.k@osmosys.co</t>
        </is>
      </c>
      <c r="D2838" t="inlineStr">
        <is>
          <t>talking-buddy</t>
        </is>
      </c>
      <c r="E2838">
        <f>HYPERLINK("http://gitlab.osmosys.co/talking-buddy/portal", "portal")</f>
        <v/>
      </c>
      <c r="F2838">
        <f>HYPERLINK("http://gitlab.osmosys.co/talking-buddy/portal/-/merge_requests/90", "feat: create generic support detail page")</f>
        <v/>
      </c>
      <c r="G2838" t="inlineStr">
        <is>
          <t>TKBT-534</t>
        </is>
      </c>
      <c r="H2838" t="inlineStr">
        <is>
          <t>main</t>
        </is>
      </c>
      <c r="I2838" t="inlineStr">
        <is>
          <t>opened</t>
        </is>
      </c>
      <c r="J2838" t="inlineStr">
        <is>
          <t>edefac149eb22899cbd3e6541ec638cc7df9ebeb</t>
        </is>
      </c>
      <c r="K2838">
        <f>HYPERLINK("http://gitlab.osmosys.co/talking-buddy/portal/-/merge_requests/90#note_245003", "Please add both task link and description so it will gives clear idea that in 1 PR two tasks changes are present")</f>
        <v/>
      </c>
      <c r="L2838" t="inlineStr">
        <is>
          <t>2025-07-31 15:39:36.588 IST</t>
        </is>
      </c>
      <c r="M2838" t="inlineStr">
        <is>
          <t>Soundariya B</t>
        </is>
      </c>
      <c r="N2838" t="inlineStr">
        <is>
          <t>Yes</t>
        </is>
      </c>
      <c r="O2838" t="inlineStr">
        <is>
          <t>Yes</t>
        </is>
      </c>
      <c r="P2838" t="inlineStr">
        <is>
          <t>Sandeep Kumar</t>
        </is>
      </c>
      <c r="Q2838" t="inlineStr">
        <is>
          <t>Neutral</t>
        </is>
      </c>
    </row>
    <row r="2839">
      <c r="A2839" t="inlineStr">
        <is>
          <t>IAM5K</t>
        </is>
      </c>
      <c r="B2839" t="inlineStr">
        <is>
          <t>Sandeep Kumar</t>
        </is>
      </c>
      <c r="C2839" t="inlineStr">
        <is>
          <t>sandeep.k@osmosys.co</t>
        </is>
      </c>
      <c r="D2839" t="inlineStr">
        <is>
          <t>talking-buddy</t>
        </is>
      </c>
      <c r="E2839">
        <f>HYPERLINK("http://gitlab.osmosys.co/talking-buddy/portal", "portal")</f>
        <v/>
      </c>
      <c r="F2839">
        <f>HYPERLINK("http://gitlab.osmosys.co/talking-buddy/portal/-/merge_requests/90", "feat: create generic support detail page")</f>
        <v/>
      </c>
      <c r="G2839" t="inlineStr">
        <is>
          <t>TKBT-534</t>
        </is>
      </c>
      <c r="H2839" t="inlineStr">
        <is>
          <t>main</t>
        </is>
      </c>
      <c r="I2839" t="inlineStr">
        <is>
          <t>opened</t>
        </is>
      </c>
      <c r="J2839" t="inlineStr">
        <is>
          <t>edefac149eb22899cbd3e6541ec638cc7df9ebeb</t>
        </is>
      </c>
      <c r="K2839">
        <f>HYPERLINK("http://gitlab.osmosys.co/talking-buddy/portal/-/merge_requests/90#note_246696", "It is updated.")</f>
        <v/>
      </c>
      <c r="L2839" t="inlineStr">
        <is>
          <t>2025-08-03 07:02:47.524 IST</t>
        </is>
      </c>
      <c r="M2839" t="inlineStr">
        <is>
          <t>Sandeep Kumar</t>
        </is>
      </c>
      <c r="N2839" t="inlineStr">
        <is>
          <t>No</t>
        </is>
      </c>
      <c r="O2839" t="inlineStr">
        <is>
          <t>Yes</t>
        </is>
      </c>
      <c r="P2839" t="inlineStr">
        <is>
          <t>Sandeep Kumar</t>
        </is>
      </c>
      <c r="Q2839" t="inlineStr">
        <is>
          <t>Neutral</t>
        </is>
      </c>
    </row>
    <row r="2840">
      <c r="A2840" t="inlineStr">
        <is>
          <t>IAM5K</t>
        </is>
      </c>
      <c r="B2840" t="inlineStr">
        <is>
          <t>Sandeep Kumar</t>
        </is>
      </c>
      <c r="C2840" t="inlineStr">
        <is>
          <t>sandeep.k@osmosys.co</t>
        </is>
      </c>
      <c r="D2840" t="inlineStr">
        <is>
          <t>talking-buddy</t>
        </is>
      </c>
      <c r="E2840">
        <f>HYPERLINK("http://gitlab.osmosys.co/talking-buddy/portal", "portal")</f>
        <v/>
      </c>
      <c r="F2840">
        <f>HYPERLINK("http://gitlab.osmosys.co/talking-buddy/portal/-/merge_requests/90", "feat: create generic support detail page")</f>
        <v/>
      </c>
      <c r="G2840" t="inlineStr">
        <is>
          <t>TKBT-534</t>
        </is>
      </c>
      <c r="H2840" t="inlineStr">
        <is>
          <t>main</t>
        </is>
      </c>
      <c r="I2840" t="inlineStr">
        <is>
          <t>opened</t>
        </is>
      </c>
      <c r="J2840" t="inlineStr">
        <is>
          <t>43e47907e3c170dc73137e0df03d5b6b89dd8af9</t>
        </is>
      </c>
      <c r="K2840">
        <f>HYPERLINK("http://gitlab.osmosys.co/talking-buddy/portal/-/merge_requests/90#note_245034", "Use this which is a good practice and as per standard, also this is confirmed by Raj earlier
```
padding-top: 0.5rem;
padding-right: 0.5rem;
padding-bottom: 0.5rem;
padding-left: 0rem;
```")</f>
        <v/>
      </c>
      <c r="L2840" t="inlineStr">
        <is>
          <t>2025-07-31 15:57:08.893 IST</t>
        </is>
      </c>
      <c r="M2840" t="inlineStr">
        <is>
          <t>Soundariya B</t>
        </is>
      </c>
      <c r="N2840" t="inlineStr">
        <is>
          <t>Yes</t>
        </is>
      </c>
      <c r="O2840" t="inlineStr">
        <is>
          <t>Yes</t>
        </is>
      </c>
      <c r="P2840" t="inlineStr">
        <is>
          <t>Soundariya B</t>
        </is>
      </c>
      <c r="Q2840" t="inlineStr">
        <is>
          <t>Neutral</t>
        </is>
      </c>
    </row>
    <row r="2841">
      <c r="A2841" t="inlineStr">
        <is>
          <t>IAM5K</t>
        </is>
      </c>
      <c r="B2841" t="inlineStr">
        <is>
          <t>Sandeep Kumar</t>
        </is>
      </c>
      <c r="C2841" t="inlineStr">
        <is>
          <t>sandeep.k@osmosys.co</t>
        </is>
      </c>
      <c r="D2841" t="inlineStr">
        <is>
          <t>talking-buddy</t>
        </is>
      </c>
      <c r="E2841">
        <f>HYPERLINK("http://gitlab.osmosys.co/talking-buddy/portal", "portal")</f>
        <v/>
      </c>
      <c r="F2841">
        <f>HYPERLINK("http://gitlab.osmosys.co/talking-buddy/portal/-/merge_requests/89", "feat: update details table, make stats card vertical and add availability status")</f>
        <v/>
      </c>
      <c r="G2841" t="inlineStr">
        <is>
          <t>feat/TKBT-530</t>
        </is>
      </c>
      <c r="H2841" t="inlineStr">
        <is>
          <t>main</t>
        </is>
      </c>
      <c r="I2841" t="inlineStr">
        <is>
          <t>merged</t>
        </is>
      </c>
      <c r="J2841" t="inlineStr"/>
      <c r="K2841" t="inlineStr"/>
      <c r="L2841" t="inlineStr"/>
      <c r="M2841" t="inlineStr"/>
      <c r="N2841" t="inlineStr"/>
      <c r="O2841" t="inlineStr"/>
      <c r="P2841" t="inlineStr"/>
      <c r="Q2841" t="inlineStr"/>
    </row>
    <row r="2842">
      <c r="A2842" t="inlineStr">
        <is>
          <t>IAM5K</t>
        </is>
      </c>
      <c r="B2842" t="inlineStr">
        <is>
          <t>Sandeep Kumar</t>
        </is>
      </c>
      <c r="C2842" t="inlineStr">
        <is>
          <t>sandeep.k@osmosys.co</t>
        </is>
      </c>
      <c r="D2842" t="inlineStr">
        <is>
          <t>talking-buddy</t>
        </is>
      </c>
      <c r="E2842">
        <f>HYPERLINK("http://gitlab.osmosys.co/talking-buddy/portal", "portal")</f>
        <v/>
      </c>
      <c r="F2842">
        <f>HYPERLINK("http://gitlab.osmosys.co/talking-buddy/portal/-/merge_requests/88", "feat: add payment filter and payment status column in table, add availability dot")</f>
        <v/>
      </c>
      <c r="G2842" t="inlineStr">
        <is>
          <t>feat/TKBT-529</t>
        </is>
      </c>
      <c r="H2842" t="inlineStr">
        <is>
          <t>main</t>
        </is>
      </c>
      <c r="I2842" t="inlineStr">
        <is>
          <t>merged</t>
        </is>
      </c>
      <c r="J2842" t="inlineStr">
        <is>
          <t>245ab0e585c44c61f9306ee0719264ee53022501</t>
        </is>
      </c>
      <c r="K2842">
        <f>HYPERLINK("http://gitlab.osmosys.co/talking-buddy/portal/-/merge_requests/88#note_241316", "Remove commented code.")</f>
        <v/>
      </c>
      <c r="L2842" t="inlineStr">
        <is>
          <t>2025-07-24 13:36:52.550 IST</t>
        </is>
      </c>
      <c r="M2842" t="inlineStr">
        <is>
          <t>Raj Kumar</t>
        </is>
      </c>
      <c r="N2842" t="inlineStr">
        <is>
          <t>Yes</t>
        </is>
      </c>
      <c r="O2842" t="inlineStr">
        <is>
          <t>Yes</t>
        </is>
      </c>
      <c r="P2842" t="inlineStr">
        <is>
          <t>Raj Kumar</t>
        </is>
      </c>
      <c r="Q2842" t="inlineStr">
        <is>
          <t>Good</t>
        </is>
      </c>
    </row>
    <row r="2843">
      <c r="A2843" t="inlineStr">
        <is>
          <t>IAM5K</t>
        </is>
      </c>
      <c r="B2843" t="inlineStr">
        <is>
          <t>Sandeep Kumar</t>
        </is>
      </c>
      <c r="C2843" t="inlineStr">
        <is>
          <t>sandeep.k@osmosys.co</t>
        </is>
      </c>
      <c r="D2843" t="inlineStr">
        <is>
          <t>talking-buddy</t>
        </is>
      </c>
      <c r="E2843">
        <f>HYPERLINK("http://gitlab.osmosys.co/talking-buddy/portal", "portal")</f>
        <v/>
      </c>
      <c r="F2843">
        <f>HYPERLINK("http://gitlab.osmosys.co/talking-buddy/portal/-/merge_requests/88", "feat: add payment filter and payment status column in table, add availability dot")</f>
        <v/>
      </c>
      <c r="G2843" t="inlineStr">
        <is>
          <t>feat/TKBT-529</t>
        </is>
      </c>
      <c r="H2843" t="inlineStr">
        <is>
          <t>main</t>
        </is>
      </c>
      <c r="I2843" t="inlineStr">
        <is>
          <t>merged</t>
        </is>
      </c>
      <c r="J2843" t="inlineStr">
        <is>
          <t>245ab0e585c44c61f9306ee0719264ee53022501</t>
        </is>
      </c>
      <c r="K2843">
        <f>HYPERLINK("http://gitlab.osmosys.co/talking-buddy/portal/-/merge_requests/88#note_241317", "Check other places too")</f>
        <v/>
      </c>
      <c r="L2843" t="inlineStr">
        <is>
          <t>2025-07-24 13:37:04.023 IST</t>
        </is>
      </c>
      <c r="M2843" t="inlineStr">
        <is>
          <t>Raj Kumar</t>
        </is>
      </c>
      <c r="N2843" t="inlineStr">
        <is>
          <t>Yes</t>
        </is>
      </c>
      <c r="O2843" t="inlineStr">
        <is>
          <t>Yes</t>
        </is>
      </c>
      <c r="P2843" t="inlineStr">
        <is>
          <t>Raj Kumar</t>
        </is>
      </c>
      <c r="Q2843" t="inlineStr">
        <is>
          <t>Good</t>
        </is>
      </c>
    </row>
    <row r="2844">
      <c r="A2844" t="inlineStr">
        <is>
          <t>IAM5K</t>
        </is>
      </c>
      <c r="B2844" t="inlineStr">
        <is>
          <t>Sandeep Kumar</t>
        </is>
      </c>
      <c r="C2844" t="inlineStr">
        <is>
          <t>sandeep.k@osmosys.co</t>
        </is>
      </c>
      <c r="D2844" t="inlineStr">
        <is>
          <t>talking-buddy</t>
        </is>
      </c>
      <c r="E2844">
        <f>HYPERLINK("http://gitlab.osmosys.co/talking-buddy/portal", "portal")</f>
        <v/>
      </c>
      <c r="F2844">
        <f>HYPERLINK("http://gitlab.osmosys.co/talking-buddy/portal/-/merge_requests/88", "feat: add payment filter and payment status column in table, add availability dot")</f>
        <v/>
      </c>
      <c r="G2844" t="inlineStr">
        <is>
          <t>feat/TKBT-529</t>
        </is>
      </c>
      <c r="H2844" t="inlineStr">
        <is>
          <t>main</t>
        </is>
      </c>
      <c r="I2844" t="inlineStr">
        <is>
          <t>merged</t>
        </is>
      </c>
      <c r="J2844" t="inlineStr">
        <is>
          <t>245ab0e585c44c61f9306ee0719264ee53022501</t>
        </is>
      </c>
      <c r="K2844">
        <f>HYPERLINK("http://gitlab.osmosys.co/talking-buddy/portal/-/merge_requests/88#note_241330", "Removed the commented code")</f>
        <v/>
      </c>
      <c r="L2844" t="inlineStr">
        <is>
          <t>2025-07-24 14:02:20.330 IST</t>
        </is>
      </c>
      <c r="M2844" t="inlineStr">
        <is>
          <t>Sandeep Kumar</t>
        </is>
      </c>
      <c r="N2844" t="inlineStr">
        <is>
          <t>No</t>
        </is>
      </c>
      <c r="O2844" t="inlineStr">
        <is>
          <t>Yes</t>
        </is>
      </c>
      <c r="P2844" t="inlineStr">
        <is>
          <t>Raj Kumar</t>
        </is>
      </c>
      <c r="Q2844" t="inlineStr">
        <is>
          <t>Good</t>
        </is>
      </c>
    </row>
    <row r="2845">
      <c r="A2845" t="inlineStr">
        <is>
          <t>IAM5K</t>
        </is>
      </c>
      <c r="B2845" t="inlineStr">
        <is>
          <t>Sandeep Kumar</t>
        </is>
      </c>
      <c r="C2845" t="inlineStr">
        <is>
          <t>sandeep.k@osmosys.co</t>
        </is>
      </c>
      <c r="D2845" t="inlineStr">
        <is>
          <t>talking-buddy</t>
        </is>
      </c>
      <c r="E2845">
        <f>HYPERLINK("http://gitlab.osmosys.co/talking-buddy/portal", "portal")</f>
        <v/>
      </c>
      <c r="F2845">
        <f>HYPERLINK("http://gitlab.osmosys.co/talking-buddy/portal/-/merge_requests/88", "feat: add payment filter and payment status column in table, add availability dot")</f>
        <v/>
      </c>
      <c r="G2845" t="inlineStr">
        <is>
          <t>feat/TKBT-529</t>
        </is>
      </c>
      <c r="H2845" t="inlineStr">
        <is>
          <t>main</t>
        </is>
      </c>
      <c r="I2845" t="inlineStr">
        <is>
          <t>merged</t>
        </is>
      </c>
      <c r="J2845" t="inlineStr">
        <is>
          <t>6097aaf49923d9d85a884f3c3af22e71a6c8ad65</t>
        </is>
      </c>
      <c r="K2845">
        <f>HYPERLINK("http://gitlab.osmosys.co/talking-buddy/portal/-/merge_requests/88#note_241318", "Is it required for this task? or is a general update?")</f>
        <v/>
      </c>
      <c r="L2845" t="inlineStr">
        <is>
          <t>2025-07-24 13:38:24.182 IST</t>
        </is>
      </c>
      <c r="M2845" t="inlineStr">
        <is>
          <t>Raj Kumar</t>
        </is>
      </c>
      <c r="N2845" t="inlineStr">
        <is>
          <t>Yes</t>
        </is>
      </c>
      <c r="O2845" t="inlineStr">
        <is>
          <t>Yes</t>
        </is>
      </c>
      <c r="P2845" t="inlineStr">
        <is>
          <t>Raj Kumar</t>
        </is>
      </c>
      <c r="Q2845" t="inlineStr">
        <is>
          <t>Neutral</t>
        </is>
      </c>
    </row>
    <row r="2846">
      <c r="A2846" t="inlineStr">
        <is>
          <t>IAM5K</t>
        </is>
      </c>
      <c r="B2846" t="inlineStr">
        <is>
          <t>Sandeep Kumar</t>
        </is>
      </c>
      <c r="C2846" t="inlineStr">
        <is>
          <t>sandeep.k@osmosys.co</t>
        </is>
      </c>
      <c r="D2846" t="inlineStr">
        <is>
          <t>talking-buddy</t>
        </is>
      </c>
      <c r="E2846">
        <f>HYPERLINK("http://gitlab.osmosys.co/talking-buddy/portal", "portal")</f>
        <v/>
      </c>
      <c r="F2846">
        <f>HYPERLINK("http://gitlab.osmosys.co/talking-buddy/portal/-/merge_requests/88", "feat: add payment filter and payment status column in table, add availability dot")</f>
        <v/>
      </c>
      <c r="G2846" t="inlineStr">
        <is>
          <t>feat/TKBT-529</t>
        </is>
      </c>
      <c r="H2846" t="inlineStr">
        <is>
          <t>main</t>
        </is>
      </c>
      <c r="I2846" t="inlineStr">
        <is>
          <t>merged</t>
        </is>
      </c>
      <c r="J2846" t="inlineStr">
        <is>
          <t>6097aaf49923d9d85a884f3c3af22e71a6c8ad65</t>
        </is>
      </c>
      <c r="K2846">
        <f>HYPERLINK("http://gitlab.osmosys.co/talking-buddy/portal/-/merge_requests/88#note_241327", "It was a general update while doing npm i")</f>
        <v/>
      </c>
      <c r="L2846" t="inlineStr">
        <is>
          <t>2025-07-24 14:00:21.737 IST</t>
        </is>
      </c>
      <c r="M2846" t="inlineStr">
        <is>
          <t>Sandeep Kumar</t>
        </is>
      </c>
      <c r="N2846" t="inlineStr">
        <is>
          <t>No</t>
        </is>
      </c>
      <c r="O2846" t="inlineStr">
        <is>
          <t>Yes</t>
        </is>
      </c>
      <c r="P2846" t="inlineStr">
        <is>
          <t>Raj Kumar</t>
        </is>
      </c>
      <c r="Q2846" t="inlineStr">
        <is>
          <t>Neutral</t>
        </is>
      </c>
    </row>
    <row r="2847">
      <c r="A2847" t="inlineStr">
        <is>
          <t>IAM5K</t>
        </is>
      </c>
      <c r="B2847" t="inlineStr">
        <is>
          <t>Sandeep Kumar</t>
        </is>
      </c>
      <c r="C2847" t="inlineStr">
        <is>
          <t>sandeep.k@osmosys.co</t>
        </is>
      </c>
      <c r="D2847" t="inlineStr">
        <is>
          <t>incident-reporter</t>
        </is>
      </c>
      <c r="E2847">
        <f>HYPERLINK("http://gitlab.osmosys.co/incident-reporter/incident-reporter-app", "OQSHA Mobile App")</f>
        <v/>
      </c>
      <c r="F2847">
        <f>HYPERLINK("http://gitlab.osmosys.co/incident-reporter/incident-reporter-app/-/merge_requests/1770", "fix: fix for the the security vulnerabilities raised for app")</f>
        <v/>
      </c>
      <c r="G2847" t="inlineStr">
        <is>
          <t>INRT-3897</t>
        </is>
      </c>
      <c r="H2847" t="inlineStr">
        <is>
          <t>vapt-fixes</t>
        </is>
      </c>
      <c r="I2847" t="inlineStr">
        <is>
          <t>opened</t>
        </is>
      </c>
      <c r="J2847" t="inlineStr"/>
      <c r="K2847" t="inlineStr"/>
      <c r="L2847" t="inlineStr"/>
      <c r="M2847" t="inlineStr"/>
      <c r="N2847" t="inlineStr"/>
      <c r="O2847" t="inlineStr"/>
      <c r="P2847" t="inlineStr"/>
      <c r="Q2847" t="inlineStr"/>
    </row>
    <row r="2848">
      <c r="A2848" t="inlineStr">
        <is>
          <t>IAM5K</t>
        </is>
      </c>
      <c r="B2848" t="inlineStr">
        <is>
          <t>Sandeep Kumar</t>
        </is>
      </c>
      <c r="C2848" t="inlineStr">
        <is>
          <t>sandeep.k@osmosys.co</t>
        </is>
      </c>
      <c r="D2848" t="inlineStr">
        <is>
          <t>incident-reporter</t>
        </is>
      </c>
      <c r="E2848">
        <f>HYPERLINK("http://gitlab.osmosys.co/incident-reporter/incident-reporter-app", "OQSHA Mobile App")</f>
        <v/>
      </c>
      <c r="F2848">
        <f>HYPERLINK("http://gitlab.osmosys.co/incident-reporter/incident-reporter-app/-/merge_requests/1740", "feat: update the config for vapt-fixes and security patches")</f>
        <v/>
      </c>
      <c r="G2848" t="inlineStr">
        <is>
          <t>INRT-3921</t>
        </is>
      </c>
      <c r="H2848" t="inlineStr">
        <is>
          <t>vapt-fixes</t>
        </is>
      </c>
      <c r="I2848" t="inlineStr">
        <is>
          <t>merged</t>
        </is>
      </c>
      <c r="J2848" t="inlineStr"/>
      <c r="K2848" t="inlineStr"/>
      <c r="L2848" t="inlineStr"/>
      <c r="M2848" t="inlineStr"/>
      <c r="N2848" t="inlineStr"/>
      <c r="O2848" t="inlineStr"/>
      <c r="P2848" t="inlineStr"/>
      <c r="Q2848" t="inlineStr"/>
    </row>
    <row r="2849">
      <c r="A2849" t="inlineStr">
        <is>
          <t>bhavana.a</t>
        </is>
      </c>
      <c r="B2849" t="inlineStr">
        <is>
          <t>Bhavana Arni</t>
        </is>
      </c>
      <c r="C2849" t="inlineStr">
        <is>
          <t>bhavana.a@osmosys.co</t>
        </is>
      </c>
      <c r="D2849" t="inlineStr">
        <is>
          <t>incident-reporter</t>
        </is>
      </c>
      <c r="E2849">
        <f>HYPERLINK("http://gitlab.osmosys.co/incident-reporter/incident-reporter-angular-portal", "OQSHA Portal")</f>
        <v/>
      </c>
      <c r="F2849">
        <f>HYPERLINK("http://gitlab.osmosys.co/incident-reporter/incident-reporter-angular-portal/-/merge_requests/3421", "fix: update telugu translation values in language file")</f>
        <v/>
      </c>
      <c r="G2849" t="inlineStr">
        <is>
          <t>fix/update-telugu-translations</t>
        </is>
      </c>
      <c r="H2849" t="inlineStr">
        <is>
          <t>sprint-17</t>
        </is>
      </c>
      <c r="I2849" t="inlineStr">
        <is>
          <t>merged</t>
        </is>
      </c>
      <c r="J2849" t="inlineStr"/>
      <c r="K2849" t="inlineStr"/>
      <c r="L2849" t="inlineStr"/>
      <c r="M2849" t="inlineStr"/>
      <c r="N2849" t="inlineStr"/>
      <c r="O2849" t="inlineStr"/>
      <c r="P2849" t="inlineStr"/>
      <c r="Q2849" t="inlineStr"/>
    </row>
    <row r="2850">
      <c r="A2850" t="inlineStr">
        <is>
          <t>bhavana.a</t>
        </is>
      </c>
      <c r="B2850" t="inlineStr">
        <is>
          <t>Bhavana Arni</t>
        </is>
      </c>
      <c r="C2850" t="inlineStr">
        <is>
          <t>bhavana.a@osmosys.co</t>
        </is>
      </c>
      <c r="D2850" t="inlineStr">
        <is>
          <t>incident-reporter</t>
        </is>
      </c>
      <c r="E2850">
        <f>HYPERLINK("http://gitlab.osmosys.co/incident-reporter/incident-reporter-angular-portal", "OQSHA Portal")</f>
        <v/>
      </c>
      <c r="F2850">
        <f>HYPERLINK("http://gitlab.osmosys.co/incident-reporter/incident-reporter-angular-portal/-/merge_requests/3391", "fix: update telugu translation keys with accurate and contextual values")</f>
        <v/>
      </c>
      <c r="G2850" t="inlineStr">
        <is>
          <t>fix/telugu-translation-keys</t>
        </is>
      </c>
      <c r="H2850" t="inlineStr">
        <is>
          <t>sprint-17</t>
        </is>
      </c>
      <c r="I2850" t="inlineStr">
        <is>
          <t>merged</t>
        </is>
      </c>
      <c r="J2850" t="inlineStr"/>
      <c r="K2850" t="inlineStr"/>
      <c r="L2850" t="inlineStr"/>
      <c r="M2850" t="inlineStr"/>
      <c r="N2850" t="inlineStr"/>
      <c r="O2850" t="inlineStr"/>
      <c r="P2850" t="inlineStr"/>
      <c r="Q2850" t="inlineStr"/>
    </row>
    <row r="2851">
      <c r="A2851" t="inlineStr">
        <is>
          <t>aditya.v</t>
        </is>
      </c>
      <c r="B2851" t="inlineStr">
        <is>
          <t>Aditya Vishwakarma</t>
        </is>
      </c>
      <c r="C2851" t="inlineStr">
        <is>
          <t>aditya.v@osmosys.co</t>
        </is>
      </c>
      <c r="D2851" t="inlineStr">
        <is>
          <t>tp</t>
        </is>
      </c>
      <c r="E2851">
        <f>HYPERLINK("http://gitlab.osmosys.co/tp/TalonProAPI", "TalonProAPI")</f>
        <v/>
      </c>
      <c r="F2851">
        <f>HYPERLINK("http://gitlab.osmosys.co/tp/TalonProAPI/-/merge_requests/2124", "Fixes Reloshare - total not in table")</f>
        <v/>
      </c>
      <c r="G2851" t="inlineStr">
        <is>
          <t>TP360_PushToReloshare_total_column_fix</t>
        </is>
      </c>
      <c r="H2851" t="inlineStr">
        <is>
          <t>Staging_Development</t>
        </is>
      </c>
      <c r="I2851" t="inlineStr">
        <is>
          <t>merged</t>
        </is>
      </c>
      <c r="J2851" t="inlineStr">
        <is>
          <t>9197b0213e5fe0d8283cc4d735ebbf64e64d0c2d</t>
        </is>
      </c>
      <c r="K2851">
        <f>HYPERLINK("http://gitlab.osmosys.co/tp/TalonProAPI/-/merge_requests/2124#note_244195", "@aditya.v  Why is the PR directly given to Development branch ??
Also always check for the pipeline to succeed.")</f>
        <v/>
      </c>
      <c r="L2851" t="inlineStr">
        <is>
          <t>2025-07-30 13:51:25.447 IST</t>
        </is>
      </c>
      <c r="M2851" t="inlineStr">
        <is>
          <t xml:space="preserve">Mandali Harshavardhan </t>
        </is>
      </c>
      <c r="N2851" t="inlineStr">
        <is>
          <t>Yes</t>
        </is>
      </c>
      <c r="O2851" t="inlineStr">
        <is>
          <t>No</t>
        </is>
      </c>
      <c r="P2851" t="inlineStr"/>
      <c r="Q2851" t="inlineStr">
        <is>
          <t>Bad</t>
        </is>
      </c>
    </row>
    <row r="2852">
      <c r="A2852" t="inlineStr">
        <is>
          <t>aditya.v</t>
        </is>
      </c>
      <c r="B2852" t="inlineStr">
        <is>
          <t>Aditya Vishwakarma</t>
        </is>
      </c>
      <c r="C2852" t="inlineStr">
        <is>
          <t>aditya.v@osmosys.co</t>
        </is>
      </c>
      <c r="D2852" t="inlineStr">
        <is>
          <t>tp</t>
        </is>
      </c>
      <c r="E2852">
        <f>HYPERLINK("http://gitlab.osmosys.co/tp/TalonProAPI", "TalonProAPI")</f>
        <v/>
      </c>
      <c r="F2852">
        <f>HYPERLINK("http://gitlab.osmosys.co/tp/TalonProAPI/-/merge_requests/2124", "Fixes Reloshare - total not in table")</f>
        <v/>
      </c>
      <c r="G2852" t="inlineStr">
        <is>
          <t>TP360_PushToReloshare_total_column_fix</t>
        </is>
      </c>
      <c r="H2852" t="inlineStr">
        <is>
          <t>Staging_Development</t>
        </is>
      </c>
      <c r="I2852" t="inlineStr">
        <is>
          <t>merged</t>
        </is>
      </c>
      <c r="J2852" t="inlineStr">
        <is>
          <t>bfe638ee947df7f5554fe8984cd42c9eae2c8cda</t>
        </is>
      </c>
      <c r="K2852">
        <f>HYPERLINK("http://gitlab.osmosys.co/tp/TalonProAPI/-/merge_requests/2124#note_244196", "PR Title - Not in format")</f>
        <v/>
      </c>
      <c r="L2852" t="inlineStr">
        <is>
          <t>2025-07-30 13:51:42.024 IST</t>
        </is>
      </c>
      <c r="M2852" t="inlineStr">
        <is>
          <t xml:space="preserve">Mandali Harshavardhan </t>
        </is>
      </c>
      <c r="N2852" t="inlineStr">
        <is>
          <t>Yes</t>
        </is>
      </c>
      <c r="O2852" t="inlineStr">
        <is>
          <t>No</t>
        </is>
      </c>
      <c r="P2852" t="inlineStr"/>
      <c r="Q2852" t="inlineStr">
        <is>
          <t>Bad</t>
        </is>
      </c>
    </row>
    <row r="2853">
      <c r="A2853" t="inlineStr">
        <is>
          <t>aditya.v</t>
        </is>
      </c>
      <c r="B2853" t="inlineStr">
        <is>
          <t>Aditya Vishwakarma</t>
        </is>
      </c>
      <c r="C2853" t="inlineStr">
        <is>
          <t>aditya.v@osmosys.co</t>
        </is>
      </c>
      <c r="D2853" t="inlineStr">
        <is>
          <t>tp</t>
        </is>
      </c>
      <c r="E2853">
        <f>HYPERLINK("http://gitlab.osmosys.co/tp/TalonProAPI", "TalonProAPI")</f>
        <v/>
      </c>
      <c r="F2853">
        <f>HYPERLINK("http://gitlab.osmosys.co/tp/TalonProAPI/-/merge_requests/2114", "Optmization for Property List")</f>
        <v/>
      </c>
      <c r="G2853" t="inlineStr">
        <is>
          <t>dev_TP360_property_list_optimization</t>
        </is>
      </c>
      <c r="H2853" t="inlineStr">
        <is>
          <t>PreTest_Development</t>
        </is>
      </c>
      <c r="I2853" t="inlineStr">
        <is>
          <t>opened</t>
        </is>
      </c>
      <c r="J2853" t="inlineStr"/>
      <c r="K2853" t="inlineStr"/>
      <c r="L2853" t="inlineStr"/>
      <c r="M2853" t="inlineStr"/>
      <c r="N2853" t="inlineStr"/>
      <c r="O2853" t="inlineStr"/>
      <c r="P2853" t="inlineStr"/>
      <c r="Q2853" t="inlineStr"/>
    </row>
    <row r="2854">
      <c r="A2854" t="inlineStr">
        <is>
          <t>aditya.v</t>
        </is>
      </c>
      <c r="B2854" t="inlineStr">
        <is>
          <t>Aditya Vishwakarma</t>
        </is>
      </c>
      <c r="C2854" t="inlineStr">
        <is>
          <t>aditya.v@osmosys.co</t>
        </is>
      </c>
      <c r="D2854" t="inlineStr">
        <is>
          <t>tp</t>
        </is>
      </c>
      <c r="E2854">
        <f>HYPERLINK("http://gitlab.osmosys.co/tp/TalonProAPI", "TalonProAPI")</f>
        <v/>
      </c>
      <c r="F2854">
        <f>HYPERLINK("http://gitlab.osmosys.co/tp/TalonProAPI/-/merge_requests/2100", "Implements StageStatusId for Support Notes")</f>
        <v/>
      </c>
      <c r="G2854" t="inlineStr">
        <is>
          <t>dev_tp360_stage_status_id</t>
        </is>
      </c>
      <c r="H2854" t="inlineStr">
        <is>
          <t>PreTest_Development</t>
        </is>
      </c>
      <c r="I2854" t="inlineStr">
        <is>
          <t>merged</t>
        </is>
      </c>
      <c r="J2854" t="inlineStr"/>
      <c r="K2854" t="inlineStr"/>
      <c r="L2854" t="inlineStr"/>
      <c r="M2854" t="inlineStr"/>
      <c r="N2854" t="inlineStr"/>
      <c r="O2854" t="inlineStr"/>
      <c r="P2854" t="inlineStr"/>
      <c r="Q2854" t="inlineStr"/>
    </row>
    <row r="2855">
      <c r="A2855" t="inlineStr">
        <is>
          <t>aditya.v</t>
        </is>
      </c>
      <c r="B2855" t="inlineStr">
        <is>
          <t>Aditya Vishwakarma</t>
        </is>
      </c>
      <c r="C2855" t="inlineStr">
        <is>
          <t>aditya.v@osmosys.co</t>
        </is>
      </c>
      <c r="D2855" t="inlineStr">
        <is>
          <t>tp</t>
        </is>
      </c>
      <c r="E2855">
        <f>HYPERLINK("http://gitlab.osmosys.co/tp/TalonProAPI", "TalonProAPI")</f>
        <v/>
      </c>
      <c r="F2855">
        <f>HYPERLINK("http://gitlab.osmosys.co/tp/TalonProAPI/-/merge_requests/2092", "Tp360 dataentry projected cost")</f>
        <v/>
      </c>
      <c r="G2855" t="inlineStr">
        <is>
          <t>TP360_dataentry_projected_cost</t>
        </is>
      </c>
      <c r="H2855" t="inlineStr">
        <is>
          <t>PreTest_Development</t>
        </is>
      </c>
      <c r="I2855" t="inlineStr">
        <is>
          <t>merged</t>
        </is>
      </c>
      <c r="J2855" t="inlineStr"/>
      <c r="K2855" t="inlineStr"/>
      <c r="L2855" t="inlineStr"/>
      <c r="M2855" t="inlineStr"/>
      <c r="N2855" t="inlineStr"/>
      <c r="O2855" t="inlineStr"/>
      <c r="P2855" t="inlineStr"/>
      <c r="Q2855" t="inlineStr"/>
    </row>
    <row r="2856">
      <c r="A2856" t="inlineStr">
        <is>
          <t>aditya.v</t>
        </is>
      </c>
      <c r="B2856" t="inlineStr">
        <is>
          <t>Aditya Vishwakarma</t>
        </is>
      </c>
      <c r="C2856" t="inlineStr">
        <is>
          <t>aditya.v@osmosys.co</t>
        </is>
      </c>
      <c r="D2856" t="inlineStr">
        <is>
          <t>tp</t>
        </is>
      </c>
      <c r="E2856">
        <f>HYPERLINK("http://gitlab.osmosys.co/tp/TalonProAPI", "TalonProAPI")</f>
        <v/>
      </c>
      <c r="F2856">
        <f>HYPERLINK("http://gitlab.osmosys.co/tp/TalonProAPI/-/merge_requests/2084", "Dev tp360 projectedcost changes")</f>
        <v/>
      </c>
      <c r="G2856" t="inlineStr">
        <is>
          <t>dev_TP360_projectedcost_changes</t>
        </is>
      </c>
      <c r="H2856" t="inlineStr">
        <is>
          <t>PreTest_Development</t>
        </is>
      </c>
      <c r="I2856" t="inlineStr">
        <is>
          <t>merged</t>
        </is>
      </c>
      <c r="J2856" t="inlineStr"/>
      <c r="K2856" t="inlineStr"/>
      <c r="L2856" t="inlineStr"/>
      <c r="M2856" t="inlineStr"/>
      <c r="N2856" t="inlineStr"/>
      <c r="O2856" t="inlineStr"/>
      <c r="P2856" t="inlineStr"/>
      <c r="Q2856" t="inlineStr"/>
    </row>
    <row r="2857">
      <c r="A2857" t="inlineStr">
        <is>
          <t>aditya.v</t>
        </is>
      </c>
      <c r="B2857" t="inlineStr">
        <is>
          <t>Aditya Vishwakarma</t>
        </is>
      </c>
      <c r="C2857" t="inlineStr">
        <is>
          <t>aditya.v@osmosys.co</t>
        </is>
      </c>
      <c r="D2857" t="inlineStr">
        <is>
          <t>tp</t>
        </is>
      </c>
      <c r="E2857">
        <f>HYPERLINK("http://gitlab.osmosys.co/tp/TalonProAPI", "TalonProAPI")</f>
        <v/>
      </c>
      <c r="F2857">
        <f>HYPERLINK("http://gitlab.osmosys.co/tp/TalonProAPI/-/merge_requests/2068", "Implements projected cost tp360")</f>
        <v/>
      </c>
      <c r="G2857" t="inlineStr">
        <is>
          <t>dev_TP360_projectedcost_changes</t>
        </is>
      </c>
      <c r="H2857" t="inlineStr">
        <is>
          <t>PreTest_Development</t>
        </is>
      </c>
      <c r="I2857" t="inlineStr">
        <is>
          <t>merged</t>
        </is>
      </c>
      <c r="J2857" t="inlineStr"/>
      <c r="K2857" t="inlineStr"/>
      <c r="L2857" t="inlineStr"/>
      <c r="M2857" t="inlineStr"/>
      <c r="N2857" t="inlineStr"/>
      <c r="O2857" t="inlineStr"/>
      <c r="P2857" t="inlineStr"/>
      <c r="Q2857" t="inlineStr"/>
    </row>
    <row r="2858">
      <c r="A2858" t="inlineStr">
        <is>
          <t>aditya.v</t>
        </is>
      </c>
      <c r="B2858" t="inlineStr">
        <is>
          <t>Aditya Vishwakarma</t>
        </is>
      </c>
      <c r="C2858" t="inlineStr">
        <is>
          <t>aditya.v@osmosys.co</t>
        </is>
      </c>
      <c r="D2858" t="inlineStr">
        <is>
          <t>tp</t>
        </is>
      </c>
      <c r="E2858">
        <f>HYPERLINK("http://gitlab.osmosys.co/tp/homtrakapi", "HomTrakAPI")</f>
        <v/>
      </c>
      <c r="F2858">
        <f>HYPERLINK("http://gitlab.osmosys.co/tp/homtrakapi/-/merge_requests/55", "Implement get invoice optimization")</f>
        <v/>
      </c>
      <c r="G2858" t="inlineStr">
        <is>
          <t>dev_hometrak_get_invoice_optimization</t>
        </is>
      </c>
      <c r="H2858" t="inlineStr">
        <is>
          <t>Staging_Development</t>
        </is>
      </c>
      <c r="I2858" t="inlineStr">
        <is>
          <t>merged</t>
        </is>
      </c>
      <c r="J2858" t="inlineStr"/>
      <c r="K2858" t="inlineStr"/>
      <c r="L2858" t="inlineStr"/>
      <c r="M2858" t="inlineStr"/>
      <c r="N2858" t="inlineStr"/>
      <c r="O2858" t="inlineStr"/>
      <c r="P2858" t="inlineStr"/>
      <c r="Q2858" t="inlineStr"/>
    </row>
    <row r="2859">
      <c r="A2859" t="inlineStr">
        <is>
          <t>bishal.m</t>
        </is>
      </c>
      <c r="B2859" t="inlineStr">
        <is>
          <t>Bishal Mondal</t>
        </is>
      </c>
      <c r="C2859" t="inlineStr">
        <is>
          <t>bishal.m@osmosys.co</t>
        </is>
      </c>
      <c r="D2859" t="inlineStr">
        <is>
          <t>incident-reporter</t>
        </is>
      </c>
      <c r="E2859">
        <f>HYPERLINK("http://gitlab.osmosys.co/incident-reporter/incident-reporter-api", "OQSHA-API")</f>
        <v/>
      </c>
      <c r="F2859">
        <f>HYPERLINK("http://gitlab.osmosys.co/incident-reporter/incident-reporter-api/-/merge_requests/4453", "feat: handle multiple status for incidents filter")</f>
        <v/>
      </c>
      <c r="G2859" t="inlineStr">
        <is>
          <t>feat/handle-multiple-status-for-incidents</t>
        </is>
      </c>
      <c r="H2859" t="inlineStr">
        <is>
          <t>sprint-19</t>
        </is>
      </c>
      <c r="I2859" t="inlineStr">
        <is>
          <t>merged</t>
        </is>
      </c>
      <c r="J2859" t="inlineStr"/>
      <c r="K2859" t="inlineStr"/>
      <c r="L2859" t="inlineStr"/>
      <c r="M2859" t="inlineStr"/>
      <c r="N2859" t="inlineStr"/>
      <c r="O2859" t="inlineStr"/>
      <c r="P2859" t="inlineStr"/>
      <c r="Q2859" t="inlineStr"/>
    </row>
    <row r="2860">
      <c r="A2860" t="inlineStr">
        <is>
          <t>bishal.m</t>
        </is>
      </c>
      <c r="B2860" t="inlineStr">
        <is>
          <t>Bishal Mondal</t>
        </is>
      </c>
      <c r="C2860" t="inlineStr">
        <is>
          <t>bishal.m@osmosys.co</t>
        </is>
      </c>
      <c r="D2860" t="inlineStr">
        <is>
          <t>incident-reporter</t>
        </is>
      </c>
      <c r="E2860">
        <f>HYPERLINK("http://gitlab.osmosys.co/incident-reporter/incident-reporter-api", "OQSHA-API")</f>
        <v/>
      </c>
      <c r="F2860">
        <f>HYPERLINK("http://gitlab.osmosys.co/incident-reporter/incident-reporter-api/-/merge_requests/4446", "feat: handle changes related to employee kpi calculation")</f>
        <v/>
      </c>
      <c r="G2860" t="inlineStr">
        <is>
          <t>feat/add-cron-job-for-employee-kpi</t>
        </is>
      </c>
      <c r="H2860" t="inlineStr">
        <is>
          <t>sprint-19</t>
        </is>
      </c>
      <c r="I2860" t="inlineStr">
        <is>
          <t>merged</t>
        </is>
      </c>
      <c r="J2860" t="inlineStr">
        <is>
          <t>b2c15ff4e6d7c9af651a6be4494e4264aeb8dd6d</t>
        </is>
      </c>
      <c r="K2860">
        <f>HYPERLINK("http://gitlab.osmosys.co/incident-reporter/incident-reporter-api/-/merge_requests/4446#note_246278", "Why is this import required?")</f>
        <v/>
      </c>
      <c r="L2860" t="inlineStr">
        <is>
          <t>2025-08-02 15:19:10.095 IST</t>
        </is>
      </c>
      <c r="M2860" t="inlineStr">
        <is>
          <t>Sameer Shaik</t>
        </is>
      </c>
      <c r="N2860" t="inlineStr">
        <is>
          <t>Yes</t>
        </is>
      </c>
      <c r="O2860" t="inlineStr">
        <is>
          <t>Yes</t>
        </is>
      </c>
      <c r="P2860" t="inlineStr">
        <is>
          <t>Sameer Shaik</t>
        </is>
      </c>
      <c r="Q2860" t="inlineStr">
        <is>
          <t>Bad</t>
        </is>
      </c>
    </row>
    <row r="2861">
      <c r="A2861" t="inlineStr">
        <is>
          <t>bishal.m</t>
        </is>
      </c>
      <c r="B2861" t="inlineStr">
        <is>
          <t>Bishal Mondal</t>
        </is>
      </c>
      <c r="C2861" t="inlineStr">
        <is>
          <t>bishal.m@osmosys.co</t>
        </is>
      </c>
      <c r="D2861" t="inlineStr">
        <is>
          <t>incident-reporter</t>
        </is>
      </c>
      <c r="E2861">
        <f>HYPERLINK("http://gitlab.osmosys.co/incident-reporter/incident-reporter-api", "OQSHA-API")</f>
        <v/>
      </c>
      <c r="F2861">
        <f>HYPERLINK("http://gitlab.osmosys.co/incident-reporter/incident-reporter-api/-/merge_requests/4446", "feat: handle changes related to employee kpi calculation")</f>
        <v/>
      </c>
      <c r="G2861" t="inlineStr">
        <is>
          <t>feat/add-cron-job-for-employee-kpi</t>
        </is>
      </c>
      <c r="H2861" t="inlineStr">
        <is>
          <t>sprint-19</t>
        </is>
      </c>
      <c r="I2861" t="inlineStr">
        <is>
          <t>merged</t>
        </is>
      </c>
      <c r="J2861" t="inlineStr">
        <is>
          <t>b2c15ff4e6d7c9af651a6be4494e4264aeb8dd6d</t>
        </is>
      </c>
      <c r="K2861">
        <f>HYPERLINK("http://gitlab.osmosys.co/incident-reporter/incident-reporter-api/-/merge_requests/4446#note_246371", "removed the change.")</f>
        <v/>
      </c>
      <c r="L2861" t="inlineStr">
        <is>
          <t>2025-08-02 16:33:24.111 IST</t>
        </is>
      </c>
      <c r="M2861" t="inlineStr">
        <is>
          <t>Bishal Mondal</t>
        </is>
      </c>
      <c r="N2861" t="inlineStr">
        <is>
          <t>No</t>
        </is>
      </c>
      <c r="O2861" t="inlineStr">
        <is>
          <t>Yes</t>
        </is>
      </c>
      <c r="P2861" t="inlineStr">
        <is>
          <t>Sameer Shaik</t>
        </is>
      </c>
      <c r="Q2861" t="inlineStr">
        <is>
          <t>Bad</t>
        </is>
      </c>
    </row>
    <row r="2862">
      <c r="A2862" t="inlineStr">
        <is>
          <t>bishal.m</t>
        </is>
      </c>
      <c r="B2862" t="inlineStr">
        <is>
          <t>Bishal Mondal</t>
        </is>
      </c>
      <c r="C2862" t="inlineStr">
        <is>
          <t>bishal.m@osmosys.co</t>
        </is>
      </c>
      <c r="D2862" t="inlineStr">
        <is>
          <t>incident-reporter</t>
        </is>
      </c>
      <c r="E2862">
        <f>HYPERLINK("http://gitlab.osmosys.co/incident-reporter/incident-reporter-api", "OQSHA-API")</f>
        <v/>
      </c>
      <c r="F2862">
        <f>HYPERLINK("http://gitlab.osmosys.co/incident-reporter/incident-reporter-api/-/merge_requests/4446", "feat: handle changes related to employee kpi calculation")</f>
        <v/>
      </c>
      <c r="G2862" t="inlineStr">
        <is>
          <t>feat/add-cron-job-for-employee-kpi</t>
        </is>
      </c>
      <c r="H2862" t="inlineStr">
        <is>
          <t>sprint-19</t>
        </is>
      </c>
      <c r="I2862" t="inlineStr">
        <is>
          <t>merged</t>
        </is>
      </c>
      <c r="J2862" t="inlineStr">
        <is>
          <t>dd3b11d88a77ec7a081d97d9afc8ad208ca063ee</t>
        </is>
      </c>
      <c r="K2862">
        <f>HYPERLINK("http://gitlab.osmosys.co/incident-reporter/incident-reporter-api/-/merge_requests/4446#note_246279", "What is the meaning of 12, 13 and 27?
Do NOT use magic numbers like these that don't make sense.
Either use them as an ENUM if they are related or use variables to define them.")</f>
        <v/>
      </c>
      <c r="L2862" t="inlineStr">
        <is>
          <t>2025-08-02 15:19:10.195 IST</t>
        </is>
      </c>
      <c r="M2862" t="inlineStr">
        <is>
          <t>Sameer Shaik</t>
        </is>
      </c>
      <c r="N2862" t="inlineStr">
        <is>
          <t>Yes</t>
        </is>
      </c>
      <c r="O2862" t="inlineStr">
        <is>
          <t>Yes</t>
        </is>
      </c>
      <c r="P2862" t="inlineStr">
        <is>
          <t>Sameer Shaik</t>
        </is>
      </c>
      <c r="Q2862" t="inlineStr">
        <is>
          <t>Bad</t>
        </is>
      </c>
    </row>
    <row r="2863">
      <c r="A2863" t="inlineStr">
        <is>
          <t>bishal.m</t>
        </is>
      </c>
      <c r="B2863" t="inlineStr">
        <is>
          <t>Bishal Mondal</t>
        </is>
      </c>
      <c r="C2863" t="inlineStr">
        <is>
          <t>bishal.m@osmosys.co</t>
        </is>
      </c>
      <c r="D2863" t="inlineStr">
        <is>
          <t>incident-reporter</t>
        </is>
      </c>
      <c r="E2863">
        <f>HYPERLINK("http://gitlab.osmosys.co/incident-reporter/incident-reporter-api", "OQSHA-API")</f>
        <v/>
      </c>
      <c r="F2863">
        <f>HYPERLINK("http://gitlab.osmosys.co/incident-reporter/incident-reporter-api/-/merge_requests/4446", "feat: handle changes related to employee kpi calculation")</f>
        <v/>
      </c>
      <c r="G2863" t="inlineStr">
        <is>
          <t>feat/add-cron-job-for-employee-kpi</t>
        </is>
      </c>
      <c r="H2863" t="inlineStr">
        <is>
          <t>sprint-19</t>
        </is>
      </c>
      <c r="I2863" t="inlineStr">
        <is>
          <t>merged</t>
        </is>
      </c>
      <c r="J2863" t="inlineStr">
        <is>
          <t>dd3b11d88a77ec7a081d97d9afc8ad208ca063ee</t>
        </is>
      </c>
      <c r="K2863">
        <f>HYPERLINK("http://gitlab.osmosys.co/incident-reporter/incident-reporter-api/-/merge_requests/4446#note_246374", "added logic to fetch the acm module id based on module names stored in ConstantsDBO")</f>
        <v/>
      </c>
      <c r="L2863" t="inlineStr">
        <is>
          <t>2025-08-02 16:34:09.274 IST</t>
        </is>
      </c>
      <c r="M2863" t="inlineStr">
        <is>
          <t>Bishal Mondal</t>
        </is>
      </c>
      <c r="N2863" t="inlineStr">
        <is>
          <t>No</t>
        </is>
      </c>
      <c r="O2863" t="inlineStr">
        <is>
          <t>Yes</t>
        </is>
      </c>
      <c r="P2863" t="inlineStr">
        <is>
          <t>Sameer Shaik</t>
        </is>
      </c>
      <c r="Q2863" t="inlineStr">
        <is>
          <t>Bad</t>
        </is>
      </c>
    </row>
    <row r="2864">
      <c r="A2864" t="inlineStr">
        <is>
          <t>bishal.m</t>
        </is>
      </c>
      <c r="B2864" t="inlineStr">
        <is>
          <t>Bishal Mondal</t>
        </is>
      </c>
      <c r="C2864" t="inlineStr">
        <is>
          <t>bishal.m@osmosys.co</t>
        </is>
      </c>
      <c r="D2864" t="inlineStr">
        <is>
          <t>incident-reporter</t>
        </is>
      </c>
      <c r="E2864">
        <f>HYPERLINK("http://gitlab.osmosys.co/incident-reporter/incident-reporter-api", "OQSHA-API")</f>
        <v/>
      </c>
      <c r="F2864">
        <f>HYPERLINK("http://gitlab.osmosys.co/incident-reporter/incident-reporter-api/-/merge_requests/4428", "feat: handle changes for the templates being fetched for NS to be uniform folder path")</f>
        <v/>
      </c>
      <c r="G2864" t="inlineStr">
        <is>
          <t>feat/handle-template-paths-uniformly</t>
        </is>
      </c>
      <c r="H2864" t="inlineStr">
        <is>
          <t>sprint-19</t>
        </is>
      </c>
      <c r="I2864" t="inlineStr">
        <is>
          <t>merged</t>
        </is>
      </c>
      <c r="J2864" t="inlineStr">
        <is>
          <t>2e1cd33014a7225b95e20b5272149d79f39aaf97</t>
        </is>
      </c>
      <c r="K2864">
        <f>HYPERLINK("http://gitlab.osmosys.co/incident-reporter/incident-reporter-api/-/merge_requests/4428#note_246294", "Don't use strings like this. Imagine what happens when for some reason the PATH of the directory changes, do you prefer deploying change just because the path changed?")</f>
        <v/>
      </c>
      <c r="L2864" t="inlineStr">
        <is>
          <t>2025-08-02 15:22:01.577 IST</t>
        </is>
      </c>
      <c r="M2864" t="inlineStr">
        <is>
          <t>Sameer Shaik</t>
        </is>
      </c>
      <c r="N2864" t="inlineStr">
        <is>
          <t>Yes</t>
        </is>
      </c>
      <c r="O2864" t="inlineStr">
        <is>
          <t>Yes</t>
        </is>
      </c>
      <c r="P2864" t="inlineStr">
        <is>
          <t>Sameer Shaik</t>
        </is>
      </c>
      <c r="Q2864" t="inlineStr">
        <is>
          <t>Bad</t>
        </is>
      </c>
    </row>
    <row r="2865">
      <c r="A2865" t="inlineStr">
        <is>
          <t>bishal.m</t>
        </is>
      </c>
      <c r="B2865" t="inlineStr">
        <is>
          <t>Bishal Mondal</t>
        </is>
      </c>
      <c r="C2865" t="inlineStr">
        <is>
          <t>bishal.m@osmosys.co</t>
        </is>
      </c>
      <c r="D2865" t="inlineStr">
        <is>
          <t>incident-reporter</t>
        </is>
      </c>
      <c r="E2865">
        <f>HYPERLINK("http://gitlab.osmosys.co/incident-reporter/incident-reporter-api", "OQSHA-API")</f>
        <v/>
      </c>
      <c r="F2865">
        <f>HYPERLINK("http://gitlab.osmosys.co/incident-reporter/incident-reporter-api/-/merge_requests/4428", "feat: handle changes for the templates being fetched for NS to be uniform folder path")</f>
        <v/>
      </c>
      <c r="G2865" t="inlineStr">
        <is>
          <t>feat/handle-template-paths-uniformly</t>
        </is>
      </c>
      <c r="H2865" t="inlineStr">
        <is>
          <t>sprint-19</t>
        </is>
      </c>
      <c r="I2865" t="inlineStr">
        <is>
          <t>merged</t>
        </is>
      </c>
      <c r="J2865" t="inlineStr">
        <is>
          <t>2e1cd33014a7225b95e20b5272149d79f39aaf97</t>
        </is>
      </c>
      <c r="K2865">
        <f>HYPERLINK("http://gitlab.osmosys.co/incident-reporter/incident-reporter-api/-/merge_requests/4428#note_246388", "Made the changes. Resolved comments. Handled the folder path as config value.")</f>
        <v/>
      </c>
      <c r="L2865" t="inlineStr">
        <is>
          <t>2025-08-02 16:54:25.148 IST</t>
        </is>
      </c>
      <c r="M2865" t="inlineStr">
        <is>
          <t>Bishal Mondal</t>
        </is>
      </c>
      <c r="N2865" t="inlineStr">
        <is>
          <t>No</t>
        </is>
      </c>
      <c r="O2865" t="inlineStr">
        <is>
          <t>Yes</t>
        </is>
      </c>
      <c r="P2865" t="inlineStr">
        <is>
          <t>Sameer Shaik</t>
        </is>
      </c>
      <c r="Q2865" t="inlineStr">
        <is>
          <t>Bad</t>
        </is>
      </c>
    </row>
    <row r="2866">
      <c r="A2866" t="inlineStr">
        <is>
          <t>bishal.m</t>
        </is>
      </c>
      <c r="B2866" t="inlineStr">
        <is>
          <t>Bishal Mondal</t>
        </is>
      </c>
      <c r="C2866" t="inlineStr">
        <is>
          <t>bishal.m@osmosys.co</t>
        </is>
      </c>
      <c r="D2866" t="inlineStr">
        <is>
          <t>incident-reporter</t>
        </is>
      </c>
      <c r="E2866">
        <f>HYPERLINK("http://gitlab.osmosys.co/incident-reporter/incident-reporter-api", "OQSHA-API")</f>
        <v/>
      </c>
      <c r="F2866">
        <f>HYPERLINK("http://gitlab.osmosys.co/incident-reporter/incident-reporter-api/-/merge_requests/4409", "fix: fix field name according to UI in export pdf")</f>
        <v/>
      </c>
      <c r="G2866" t="inlineStr">
        <is>
          <t>fix/update-field-names-in-export-pdf</t>
        </is>
      </c>
      <c r="H2866" t="inlineStr">
        <is>
          <t>sprint-18</t>
        </is>
      </c>
      <c r="I2866" t="inlineStr">
        <is>
          <t>merged</t>
        </is>
      </c>
      <c r="J2866" t="inlineStr"/>
      <c r="K2866" t="inlineStr"/>
      <c r="L2866" t="inlineStr"/>
      <c r="M2866" t="inlineStr"/>
      <c r="N2866" t="inlineStr"/>
      <c r="O2866" t="inlineStr"/>
      <c r="P2866" t="inlineStr"/>
      <c r="Q2866" t="inlineStr"/>
    </row>
    <row r="2867">
      <c r="A2867" t="inlineStr">
        <is>
          <t>bishal.m</t>
        </is>
      </c>
      <c r="B2867" t="inlineStr">
        <is>
          <t>Bishal Mondal</t>
        </is>
      </c>
      <c r="C2867" t="inlineStr">
        <is>
          <t>bishal.m@osmosys.co</t>
        </is>
      </c>
      <c r="D2867" t="inlineStr">
        <is>
          <t>incident-reporter</t>
        </is>
      </c>
      <c r="E2867">
        <f>HYPERLINK("http://gitlab.osmosys.co/incident-reporter/incident-reporter-api", "OQSHA-API")</f>
        <v/>
      </c>
      <c r="F2867">
        <f>HYPERLINK("http://gitlab.osmosys.co/incident-reporter/incident-reporter-api/-/merge_requests/4404", "fix: fix reminder trigger date logic for inspection, hira, moc modules")</f>
        <v/>
      </c>
      <c r="G2867" t="inlineStr">
        <is>
          <t>fix/fix-reminders-notification</t>
        </is>
      </c>
      <c r="H2867" t="inlineStr">
        <is>
          <t>sprint-18</t>
        </is>
      </c>
      <c r="I2867" t="inlineStr">
        <is>
          <t>merged</t>
        </is>
      </c>
      <c r="J2867" t="inlineStr"/>
      <c r="K2867" t="inlineStr"/>
      <c r="L2867" t="inlineStr"/>
      <c r="M2867" t="inlineStr"/>
      <c r="N2867" t="inlineStr"/>
      <c r="O2867" t="inlineStr"/>
      <c r="P2867" t="inlineStr"/>
      <c r="Q2867" t="inlineStr"/>
    </row>
    <row r="2868">
      <c r="A2868" t="inlineStr">
        <is>
          <t>bishal.m</t>
        </is>
      </c>
      <c r="B2868" t="inlineStr">
        <is>
          <t>Bishal Mondal</t>
        </is>
      </c>
      <c r="C2868" t="inlineStr">
        <is>
          <t>bishal.m@osmosys.co</t>
        </is>
      </c>
      <c r="D2868" t="inlineStr">
        <is>
          <t>incident-reporter</t>
        </is>
      </c>
      <c r="E2868">
        <f>HYPERLINK("http://gitlab.osmosys.co/incident-reporter/incident-reporter-api", "OQSHA-API")</f>
        <v/>
      </c>
      <c r="F2868">
        <f>HYPERLINK("http://gitlab.osmosys.co/incident-reporter/incident-reporter-api/-/merge_requests/4402", "fix: handle Department and DueDate properly in Inspections hpdf")</f>
        <v/>
      </c>
      <c r="G2868" t="inlineStr">
        <is>
          <t>fix/fix-inspection-pdf</t>
        </is>
      </c>
      <c r="H2868" t="inlineStr">
        <is>
          <t>sprint-18</t>
        </is>
      </c>
      <c r="I2868" t="inlineStr">
        <is>
          <t>merged</t>
        </is>
      </c>
      <c r="J2868" t="inlineStr"/>
      <c r="K2868" t="inlineStr"/>
      <c r="L2868" t="inlineStr"/>
      <c r="M2868" t="inlineStr"/>
      <c r="N2868" t="inlineStr"/>
      <c r="O2868" t="inlineStr"/>
      <c r="P2868" t="inlineStr"/>
      <c r="Q2868" t="inlineStr"/>
    </row>
    <row r="2869">
      <c r="A2869" t="inlineStr">
        <is>
          <t>bishal.m</t>
        </is>
      </c>
      <c r="B2869" t="inlineStr">
        <is>
          <t>Bishal Mondal</t>
        </is>
      </c>
      <c r="C2869" t="inlineStr">
        <is>
          <t>bishal.m@osmosys.co</t>
        </is>
      </c>
      <c r="D2869" t="inlineStr">
        <is>
          <t>incident-reporter</t>
        </is>
      </c>
      <c r="E2869">
        <f>HYPERLINK("http://gitlab.osmosys.co/incident-reporter/incident-reporter-api", "OQSHA-API")</f>
        <v/>
      </c>
      <c r="F2869">
        <f>HYPERLINK("http://gitlab.osmosys.co/incident-reporter/incident-reporter-api/-/merge_requests/4375", "fix: handle update template fetching from org specific folders")</f>
        <v/>
      </c>
      <c r="G2869" t="inlineStr">
        <is>
          <t>fix/fix-inform-to-update-template</t>
        </is>
      </c>
      <c r="H2869" t="inlineStr">
        <is>
          <t>sprint-18</t>
        </is>
      </c>
      <c r="I2869" t="inlineStr">
        <is>
          <t>merged</t>
        </is>
      </c>
      <c r="J2869" t="inlineStr"/>
      <c r="K2869" t="inlineStr"/>
      <c r="L2869" t="inlineStr"/>
      <c r="M2869" t="inlineStr"/>
      <c r="N2869" t="inlineStr"/>
      <c r="O2869" t="inlineStr"/>
      <c r="P2869" t="inlineStr"/>
      <c r="Q2869" t="inlineStr"/>
    </row>
    <row r="2870">
      <c r="A2870" t="inlineStr">
        <is>
          <t>bishal.m</t>
        </is>
      </c>
      <c r="B2870" t="inlineStr">
        <is>
          <t>Bishal Mondal</t>
        </is>
      </c>
      <c r="C2870" t="inlineStr">
        <is>
          <t>bishal.m@osmosys.co</t>
        </is>
      </c>
      <c r="D2870" t="inlineStr">
        <is>
          <t>incident-reporter</t>
        </is>
      </c>
      <c r="E2870">
        <f>HYPERLINK("http://gitlab.osmosys.co/incident-reporter/incident-reporter-api", "OQSHA-API")</f>
        <v/>
      </c>
      <c r="F2870">
        <f>HYPERLINK("http://gitlab.osmosys.co/incident-reporter/incident-reporter-api/-/merge_requests/4373", "fix: fix dashboard apis to handle sites properly")</f>
        <v/>
      </c>
      <c r="G2870" t="inlineStr">
        <is>
          <t>fix/fix-dashboard-api-bug</t>
        </is>
      </c>
      <c r="H2870" t="inlineStr">
        <is>
          <t>sprint-18</t>
        </is>
      </c>
      <c r="I2870" t="inlineStr">
        <is>
          <t>merged</t>
        </is>
      </c>
      <c r="J2870" t="inlineStr"/>
      <c r="K2870" t="inlineStr"/>
      <c r="L2870" t="inlineStr"/>
      <c r="M2870" t="inlineStr"/>
      <c r="N2870" t="inlineStr"/>
      <c r="O2870" t="inlineStr"/>
      <c r="P2870" t="inlineStr"/>
      <c r="Q2870" t="inlineStr"/>
    </row>
    <row r="2871">
      <c r="A2871" t="inlineStr">
        <is>
          <t>bishal.m</t>
        </is>
      </c>
      <c r="B2871" t="inlineStr">
        <is>
          <t>Bishal Mondal</t>
        </is>
      </c>
      <c r="C2871" t="inlineStr">
        <is>
          <t>bishal.m@osmosys.co</t>
        </is>
      </c>
      <c r="D2871" t="inlineStr">
        <is>
          <t>incident-reporter</t>
        </is>
      </c>
      <c r="E2871">
        <f>HYPERLINK("http://gitlab.osmosys.co/incident-reporter/incident-reporter-api", "OQSHA-API")</f>
        <v/>
      </c>
      <c r="F2871">
        <f>HYPERLINK("http://gitlab.osmosys.co/incident-reporter/incident-reporter-api/-/merge_requests/4341", "merge: merge sprint-17 to sprint-18")</f>
        <v/>
      </c>
      <c r="G2871" t="inlineStr">
        <is>
          <t>merge/sprint-17-to-sprint-18</t>
        </is>
      </c>
      <c r="H2871" t="inlineStr">
        <is>
          <t>sprint-18</t>
        </is>
      </c>
      <c r="I2871" t="inlineStr">
        <is>
          <t>closed</t>
        </is>
      </c>
      <c r="J2871" t="inlineStr">
        <is>
          <t>46ed74df3a5ffd4c216cd234d18443f74e97a00e</t>
        </is>
      </c>
      <c r="K2871">
        <f>HYPERLINK("http://gitlab.osmosys.co/incident-reporter/incident-reporter-api/-/merge_requests/4341#note_241962", "Closing this pr - another pr is created to merge sprint-17 to sprint18")</f>
        <v/>
      </c>
      <c r="L2871" t="inlineStr">
        <is>
          <t>2025-07-25 17:48:11.629 IST</t>
        </is>
      </c>
      <c r="M2871" t="inlineStr">
        <is>
          <t>Harish</t>
        </is>
      </c>
      <c r="N2871" t="inlineStr">
        <is>
          <t>Yes</t>
        </is>
      </c>
      <c r="O2871" t="inlineStr">
        <is>
          <t>No</t>
        </is>
      </c>
      <c r="P2871" t="inlineStr"/>
      <c r="Q2871" t="inlineStr">
        <is>
          <t>Bad</t>
        </is>
      </c>
    </row>
    <row r="2872">
      <c r="A2872" t="inlineStr">
        <is>
          <t>bishal.m</t>
        </is>
      </c>
      <c r="B2872" t="inlineStr">
        <is>
          <t>Bishal Mondal</t>
        </is>
      </c>
      <c r="C2872" t="inlineStr">
        <is>
          <t>bishal.m@osmosys.co</t>
        </is>
      </c>
      <c r="D2872" t="inlineStr">
        <is>
          <t>incident-reporter</t>
        </is>
      </c>
      <c r="E2872">
        <f>HYPERLINK("http://gitlab.osmosys.co/incident-reporter/incident-reporter-api", "OQSHA-API")</f>
        <v/>
      </c>
      <c r="F2872">
        <f>HYPERLINK("http://gitlab.osmosys.co/incident-reporter/incident-reporter-api/-/merge_requests/4334", "add logs for PDF and notifier function for assigned to")</f>
        <v/>
      </c>
      <c r="G2872" t="inlineStr">
        <is>
          <t>feat/add-logs-to-safety-alert-pdf-generation</t>
        </is>
      </c>
      <c r="H2872" t="inlineStr">
        <is>
          <t>sprint-17</t>
        </is>
      </c>
      <c r="I2872" t="inlineStr">
        <is>
          <t>closed</t>
        </is>
      </c>
      <c r="J2872" t="inlineStr"/>
      <c r="K2872" t="inlineStr"/>
      <c r="L2872" t="inlineStr"/>
      <c r="M2872" t="inlineStr"/>
      <c r="N2872" t="inlineStr"/>
      <c r="O2872" t="inlineStr"/>
      <c r="P2872" t="inlineStr"/>
      <c r="Q2872" t="inlineStr"/>
    </row>
    <row r="2873">
      <c r="A2873" t="inlineStr">
        <is>
          <t>bishal.m</t>
        </is>
      </c>
      <c r="B2873" t="inlineStr">
        <is>
          <t>Bishal Mondal</t>
        </is>
      </c>
      <c r="C2873" t="inlineStr">
        <is>
          <t>bishal.m@osmosys.co</t>
        </is>
      </c>
      <c r="D2873" t="inlineStr">
        <is>
          <t>incident-reporter</t>
        </is>
      </c>
      <c r="E2873">
        <f>HYPERLINK("http://gitlab.osmosys.co/incident-reporter/incident-reporter-api", "OQSHA-API")</f>
        <v/>
      </c>
      <c r="F2873">
        <f>HYPERLINK("http://gitlab.osmosys.co/incident-reporter/incident-reporter-api/-/merge_requests/4311", "fix: modify hardcoded Validated_1 in List API")</f>
        <v/>
      </c>
      <c r="G2873" t="inlineStr">
        <is>
          <t>fix/fix-issue-with-validated</t>
        </is>
      </c>
      <c r="H2873" t="inlineStr">
        <is>
          <t>sprint-17</t>
        </is>
      </c>
      <c r="I2873" t="inlineStr">
        <is>
          <t>merged</t>
        </is>
      </c>
      <c r="J2873" t="inlineStr"/>
      <c r="K2873" t="inlineStr"/>
      <c r="L2873" t="inlineStr"/>
      <c r="M2873" t="inlineStr"/>
      <c r="N2873" t="inlineStr"/>
      <c r="O2873" t="inlineStr"/>
      <c r="P2873" t="inlineStr"/>
      <c r="Q2873" t="inlineStr"/>
    </row>
    <row r="2874">
      <c r="A2874" t="inlineStr">
        <is>
          <t>bishal.m</t>
        </is>
      </c>
      <c r="B2874" t="inlineStr">
        <is>
          <t>Bishal Mondal</t>
        </is>
      </c>
      <c r="C2874" t="inlineStr">
        <is>
          <t>bishal.m@osmosys.co</t>
        </is>
      </c>
      <c r="D2874" t="inlineStr">
        <is>
          <t>incident-reporter</t>
        </is>
      </c>
      <c r="E2874">
        <f>HYPERLINK("http://gitlab.osmosys.co/incident-reporter/incident-reporter-api", "OQSHA-API")</f>
        <v/>
      </c>
      <c r="F2874">
        <f>HYPERLINK("http://gitlab.osmosys.co/incident-reporter/incident-reporter-api/-/merge_requests/4304", "feat: modify validation status name")</f>
        <v/>
      </c>
      <c r="G2874" t="inlineStr">
        <is>
          <t>feat/update-ticket-status-name</t>
        </is>
      </c>
      <c r="H2874" t="inlineStr">
        <is>
          <t>sprint-17</t>
        </is>
      </c>
      <c r="I2874" t="inlineStr">
        <is>
          <t>merged</t>
        </is>
      </c>
      <c r="J2874" t="inlineStr"/>
      <c r="K2874" t="inlineStr"/>
      <c r="L2874" t="inlineStr"/>
      <c r="M2874" t="inlineStr"/>
      <c r="N2874" t="inlineStr"/>
      <c r="O2874" t="inlineStr"/>
      <c r="P2874" t="inlineStr"/>
      <c r="Q2874" t="inlineStr"/>
    </row>
    <row r="2875">
      <c r="A2875" t="inlineStr">
        <is>
          <t>bishal.m</t>
        </is>
      </c>
      <c r="B2875" t="inlineStr">
        <is>
          <t>Bishal Mondal</t>
        </is>
      </c>
      <c r="C2875" t="inlineStr">
        <is>
          <t>bishal.m@osmosys.co</t>
        </is>
      </c>
      <c r="D2875" t="inlineStr">
        <is>
          <t>incident-reporter</t>
        </is>
      </c>
      <c r="E2875">
        <f>HYPERLINK("http://gitlab.osmosys.co/incident-reporter/incident-reporter-api", "OQSHA-API")</f>
        <v/>
      </c>
      <c r="F2875">
        <f>HYPERLINK("http://gitlab.osmosys.co/incident-reporter/incident-reporter-api/-/merge_requests/4301", "fix: fix due date format")</f>
        <v/>
      </c>
      <c r="G2875" t="inlineStr">
        <is>
          <t>fix/fix-due-date-format</t>
        </is>
      </c>
      <c r="H2875" t="inlineStr">
        <is>
          <t>sprint-17</t>
        </is>
      </c>
      <c r="I2875" t="inlineStr">
        <is>
          <t>merged</t>
        </is>
      </c>
      <c r="J2875" t="inlineStr"/>
      <c r="K2875" t="inlineStr"/>
      <c r="L2875" t="inlineStr"/>
      <c r="M2875" t="inlineStr"/>
      <c r="N2875" t="inlineStr"/>
      <c r="O2875" t="inlineStr"/>
      <c r="P2875" t="inlineStr"/>
      <c r="Q2875" t="inlineStr"/>
    </row>
    <row r="2876">
      <c r="A2876" t="inlineStr">
        <is>
          <t>bishal.m</t>
        </is>
      </c>
      <c r="B2876" t="inlineStr">
        <is>
          <t>Bishal Mondal</t>
        </is>
      </c>
      <c r="C2876" t="inlineStr">
        <is>
          <t>bishal.m@osmosys.co</t>
        </is>
      </c>
      <c r="D2876" t="inlineStr">
        <is>
          <t>incident-reporter</t>
        </is>
      </c>
      <c r="E2876">
        <f>HYPERLINK("http://gitlab.osmosys.co/incident-reporter/incident-reporter-api", "OQSHA-API")</f>
        <v/>
      </c>
      <c r="F2876">
        <f>HYPERLINK("http://gitlab.osmosys.co/incident-reporter/incident-reporter-api/-/merge_requests/4294", "fix: fix issues related to safety alert issues")</f>
        <v/>
      </c>
      <c r="G2876" t="inlineStr">
        <is>
          <t>fix/fix-safety-alert-related-issues</t>
        </is>
      </c>
      <c r="H2876" t="inlineStr">
        <is>
          <t>sprint-17</t>
        </is>
      </c>
      <c r="I2876" t="inlineStr">
        <is>
          <t>merged</t>
        </is>
      </c>
      <c r="J2876" t="inlineStr"/>
      <c r="K2876" t="inlineStr"/>
      <c r="L2876" t="inlineStr"/>
      <c r="M2876" t="inlineStr"/>
      <c r="N2876" t="inlineStr"/>
      <c r="O2876" t="inlineStr"/>
      <c r="P2876" t="inlineStr"/>
      <c r="Q2876" t="inlineStr"/>
    </row>
    <row r="2877">
      <c r="A2877" t="inlineStr">
        <is>
          <t>bishal.m</t>
        </is>
      </c>
      <c r="B2877" t="inlineStr">
        <is>
          <t>Bishal Mondal</t>
        </is>
      </c>
      <c r="C2877" t="inlineStr">
        <is>
          <t>bishal.m@osmosys.co</t>
        </is>
      </c>
      <c r="D2877" t="inlineStr">
        <is>
          <t>incident-reporter</t>
        </is>
      </c>
      <c r="E2877">
        <f>HYPERLINK("http://gitlab.osmosys.co/incident-reporter/incident-reporter-api", "OQSHA-API")</f>
        <v/>
      </c>
      <c r="F2877">
        <f>HYPERLINK("http://gitlab.osmosys.co/incident-reporter/incident-reporter-api/-/merge_requests/4286", "fix: fix date format for safety alerts email based on requirement")</f>
        <v/>
      </c>
      <c r="G2877" t="inlineStr">
        <is>
          <t>fix/fix-date-format-for-safety-alert-emails</t>
        </is>
      </c>
      <c r="H2877" t="inlineStr">
        <is>
          <t>sprint-17</t>
        </is>
      </c>
      <c r="I2877" t="inlineStr">
        <is>
          <t>merged</t>
        </is>
      </c>
      <c r="J2877" t="inlineStr"/>
      <c r="K2877" t="inlineStr"/>
      <c r="L2877" t="inlineStr"/>
      <c r="M2877" t="inlineStr"/>
      <c r="N2877" t="inlineStr"/>
      <c r="O2877" t="inlineStr"/>
      <c r="P2877" t="inlineStr"/>
      <c r="Q2877" t="inlineStr"/>
    </row>
    <row r="2878">
      <c r="A2878" t="inlineStr">
        <is>
          <t>bishal.m</t>
        </is>
      </c>
      <c r="B2878" t="inlineStr">
        <is>
          <t>Bishal Mondal</t>
        </is>
      </c>
      <c r="C2878" t="inlineStr">
        <is>
          <t>bishal.m@osmosys.co</t>
        </is>
      </c>
      <c r="D2878" t="inlineStr">
        <is>
          <t>incident-reporter</t>
        </is>
      </c>
      <c r="E2878">
        <f>HYPERLINK("http://gitlab.osmosys.co/incident-reporter/incident-reporter-api", "OQSHA-API")</f>
        <v/>
      </c>
      <c r="F2878">
        <f>HYPERLINK("http://gitlab.osmosys.co/incident-reporter/incident-reporter-api/-/merge_requests/4280", "fix: update the person for reopen emai to resolved person")</f>
        <v/>
      </c>
      <c r="G2878" t="inlineStr">
        <is>
          <t>fix/fix-reopen-mail-sender</t>
        </is>
      </c>
      <c r="H2878" t="inlineStr">
        <is>
          <t>sprint-17</t>
        </is>
      </c>
      <c r="I2878" t="inlineStr">
        <is>
          <t>merged</t>
        </is>
      </c>
      <c r="J2878" t="inlineStr"/>
      <c r="K2878" t="inlineStr"/>
      <c r="L2878" t="inlineStr"/>
      <c r="M2878" t="inlineStr"/>
      <c r="N2878" t="inlineStr"/>
      <c r="O2878" t="inlineStr"/>
      <c r="P2878" t="inlineStr"/>
      <c r="Q2878" t="inlineStr"/>
    </row>
    <row r="2879">
      <c r="A2879" t="inlineStr">
        <is>
          <t>bishal.m</t>
        </is>
      </c>
      <c r="B2879" t="inlineStr">
        <is>
          <t>Bishal Mondal</t>
        </is>
      </c>
      <c r="C2879" t="inlineStr">
        <is>
          <t>bishal.m@osmosys.co</t>
        </is>
      </c>
      <c r="D2879" t="inlineStr">
        <is>
          <t>incident-reporter</t>
        </is>
      </c>
      <c r="E2879">
        <f>HYPERLINK("http://gitlab.osmosys.co/incident-reporter/incident-reporter-api", "OQSHA-API")</f>
        <v/>
      </c>
      <c r="F2879">
        <f>HYPERLINK("http://gitlab.osmosys.co/incident-reporter/incident-reporter-api/-/merge_requests/4278", "fix: fix fetch query for handling role names")</f>
        <v/>
      </c>
      <c r="G2879" t="inlineStr">
        <is>
          <t>fix/fix-fetch-query</t>
        </is>
      </c>
      <c r="H2879" t="inlineStr">
        <is>
          <t>sprint-17</t>
        </is>
      </c>
      <c r="I2879" t="inlineStr">
        <is>
          <t>merged</t>
        </is>
      </c>
      <c r="J2879" t="inlineStr"/>
      <c r="K2879" t="inlineStr"/>
      <c r="L2879" t="inlineStr"/>
      <c r="M2879" t="inlineStr"/>
      <c r="N2879" t="inlineStr"/>
      <c r="O2879" t="inlineStr"/>
      <c r="P2879" t="inlineStr"/>
      <c r="Q2879" t="inlineStr"/>
    </row>
    <row r="2880">
      <c r="A2880" t="inlineStr">
        <is>
          <t>bishal.m</t>
        </is>
      </c>
      <c r="B2880" t="inlineStr">
        <is>
          <t>Bishal Mondal</t>
        </is>
      </c>
      <c r="C2880" t="inlineStr">
        <is>
          <t>bishal.m@osmosys.co</t>
        </is>
      </c>
      <c r="D2880" t="inlineStr">
        <is>
          <t>incident-reporter</t>
        </is>
      </c>
      <c r="E2880">
        <f>HYPERLINK("http://gitlab.osmosys.co/incident-reporter/incident-reporter-api", "OQSHA-API")</f>
        <v/>
      </c>
      <c r="F2880">
        <f>HYPERLINK("http://gitlab.osmosys.co/incident-reporter/incident-reporter-api/-/merge_requests/4275", "feat: modify the templates for safety alert emails for TTK")</f>
        <v/>
      </c>
      <c r="G2880" t="inlineStr">
        <is>
          <t>feat/modify-templates-for-safety-alerts</t>
        </is>
      </c>
      <c r="H2880" t="inlineStr">
        <is>
          <t>sprint-17</t>
        </is>
      </c>
      <c r="I2880" t="inlineStr">
        <is>
          <t>merged</t>
        </is>
      </c>
      <c r="J2880" t="inlineStr"/>
      <c r="K2880" t="inlineStr"/>
      <c r="L2880" t="inlineStr"/>
      <c r="M2880" t="inlineStr"/>
      <c r="N2880" t="inlineStr"/>
      <c r="O2880" t="inlineStr"/>
      <c r="P2880" t="inlineStr"/>
      <c r="Q2880" t="inlineStr"/>
    </row>
    <row r="2881">
      <c r="A2881" t="inlineStr">
        <is>
          <t>bishal.m</t>
        </is>
      </c>
      <c r="B2881" t="inlineStr">
        <is>
          <t>Bishal Mondal</t>
        </is>
      </c>
      <c r="C2881" t="inlineStr">
        <is>
          <t>bishal.m@osmosys.co</t>
        </is>
      </c>
      <c r="D2881" t="inlineStr">
        <is>
          <t>incident-reporter</t>
        </is>
      </c>
      <c r="E2881">
        <f>HYPERLINK("http://gitlab.osmosys.co/incident-reporter/incident-reporter-api", "OQSHA-API")</f>
        <v/>
      </c>
      <c r="F2881">
        <f>HYPERLINK("http://gitlab.osmosys.co/incident-reporter/incident-reporter-api/-/merge_requests/4265", "feat: add changes for handling new status in tickets module")</f>
        <v/>
      </c>
      <c r="G2881" t="inlineStr">
        <is>
          <t>feat/add-new-status-for-tickets-task</t>
        </is>
      </c>
      <c r="H2881" t="inlineStr">
        <is>
          <t>sprint-17</t>
        </is>
      </c>
      <c r="I2881" t="inlineStr">
        <is>
          <t>merged</t>
        </is>
      </c>
      <c r="J2881" t="inlineStr"/>
      <c r="K2881" t="inlineStr"/>
      <c r="L2881" t="inlineStr"/>
      <c r="M2881" t="inlineStr"/>
      <c r="N2881" t="inlineStr"/>
      <c r="O2881" t="inlineStr"/>
      <c r="P2881" t="inlineStr"/>
      <c r="Q2881" t="inlineStr"/>
    </row>
    <row r="2882">
      <c r="A2882" t="inlineStr">
        <is>
          <t>bishal.m</t>
        </is>
      </c>
      <c r="B2882" t="inlineStr">
        <is>
          <t>Bishal Mondal</t>
        </is>
      </c>
      <c r="C2882" t="inlineStr">
        <is>
          <t>bishal.m@osmosys.co</t>
        </is>
      </c>
      <c r="D2882" t="inlineStr">
        <is>
          <t>incident-reporter</t>
        </is>
      </c>
      <c r="E2882">
        <f>HYPERLINK("http://gitlab.osmosys.co/incident-reporter/incident-reporter-api", "OQSHA-API")</f>
        <v/>
      </c>
      <c r="F2882">
        <f>HYPERLINK("http://gitlab.osmosys.co/incident-reporter/incident-reporter-api/-/merge_requests/4257", "feat: modify templates and add emails for ttk org")</f>
        <v/>
      </c>
      <c r="G2882" t="inlineStr">
        <is>
          <t>feat/add-new-email-templates</t>
        </is>
      </c>
      <c r="H2882" t="inlineStr">
        <is>
          <t>sprint-17</t>
        </is>
      </c>
      <c r="I2882" t="inlineStr">
        <is>
          <t>merged</t>
        </is>
      </c>
      <c r="J2882" t="inlineStr"/>
      <c r="K2882" t="inlineStr"/>
      <c r="L2882" t="inlineStr"/>
      <c r="M2882" t="inlineStr"/>
      <c r="N2882" t="inlineStr"/>
      <c r="O2882" t="inlineStr"/>
      <c r="P2882" t="inlineStr"/>
      <c r="Q2882" t="inlineStr"/>
    </row>
    <row r="2883">
      <c r="A2883" t="inlineStr">
        <is>
          <t>bishal.m</t>
        </is>
      </c>
      <c r="B2883" t="inlineStr">
        <is>
          <t>Bishal Mondal</t>
        </is>
      </c>
      <c r="C2883" t="inlineStr">
        <is>
          <t>bishal.m@osmosys.co</t>
        </is>
      </c>
      <c r="D2883" t="inlineStr">
        <is>
          <t>incident-reporter</t>
        </is>
      </c>
      <c r="E2883">
        <f>HYPERLINK("http://gitlab.osmosys.co/incident-reporter/incident-reporter-api", "OQSHA-API")</f>
        <v/>
      </c>
      <c r="F2883">
        <f>HYPERLINK("http://gitlab.osmosys.co/incident-reporter/incident-reporter-api/-/merge_requests/4236", "feat: add new columns for export pdf")</f>
        <v/>
      </c>
      <c r="G2883" t="inlineStr">
        <is>
          <t>feat/add-new-columns-for-export-pdf</t>
        </is>
      </c>
      <c r="H2883" t="inlineStr">
        <is>
          <t>sprint-18</t>
        </is>
      </c>
      <c r="I2883" t="inlineStr">
        <is>
          <t>merged</t>
        </is>
      </c>
      <c r="J2883" t="inlineStr">
        <is>
          <t>fdded4565d532828c6f907464d2ed3c7fcbbc19a</t>
        </is>
      </c>
      <c r="K2883">
        <f>HYPERLINK("http://gitlab.osmosys.co/incident-reporter/incident-reporter-api/-/merge_requests/4236#note_242688", "@bishal.m  - Attach the screenshots of the PDFs in the PR itself.")</f>
        <v/>
      </c>
      <c r="L2883" t="inlineStr">
        <is>
          <t>2025-07-28 09:42:06.694 IST</t>
        </is>
      </c>
      <c r="M2883" t="inlineStr">
        <is>
          <t>Sindhusha</t>
        </is>
      </c>
      <c r="N2883" t="inlineStr">
        <is>
          <t>Yes</t>
        </is>
      </c>
      <c r="O2883" t="inlineStr">
        <is>
          <t>No</t>
        </is>
      </c>
      <c r="P2883" t="inlineStr"/>
      <c r="Q2883" t="inlineStr">
        <is>
          <t>Bad</t>
        </is>
      </c>
    </row>
    <row r="2884">
      <c r="A2884" t="inlineStr">
        <is>
          <t>bishal.m</t>
        </is>
      </c>
      <c r="B2884" t="inlineStr">
        <is>
          <t>Bishal Mondal</t>
        </is>
      </c>
      <c r="C2884" t="inlineStr">
        <is>
          <t>bishal.m@osmosys.co</t>
        </is>
      </c>
      <c r="D2884" t="inlineStr">
        <is>
          <t>incident-reporter</t>
        </is>
      </c>
      <c r="E2884">
        <f>HYPERLINK("http://gitlab.osmosys.co/incident-reporter/incident-reporter-api", "OQSHA-API")</f>
        <v/>
      </c>
      <c r="F2884">
        <f>HYPERLINK("http://gitlab.osmosys.co/incident-reporter/incident-reporter-api/-/merge_requests/4227", "fix: fix issue with checklist response not saving properly while task updation")</f>
        <v/>
      </c>
      <c r="G2884" t="inlineStr">
        <is>
          <t>fix/fix-task-update-issue</t>
        </is>
      </c>
      <c r="H2884" t="inlineStr">
        <is>
          <t>sprint-17</t>
        </is>
      </c>
      <c r="I2884" t="inlineStr">
        <is>
          <t>merged</t>
        </is>
      </c>
      <c r="J2884" t="inlineStr"/>
      <c r="K2884" t="inlineStr"/>
      <c r="L2884" t="inlineStr"/>
      <c r="M2884" t="inlineStr"/>
      <c r="N2884" t="inlineStr"/>
      <c r="O2884" t="inlineStr"/>
      <c r="P2884" t="inlineStr"/>
      <c r="Q2884" t="inlineStr"/>
    </row>
    <row r="2885">
      <c r="A2885" t="inlineStr">
        <is>
          <t>bishal.m</t>
        </is>
      </c>
      <c r="B2885" t="inlineStr">
        <is>
          <t>Bishal Mondal</t>
        </is>
      </c>
      <c r="C2885" t="inlineStr">
        <is>
          <t>bishal.m@osmosys.co</t>
        </is>
      </c>
      <c r="D2885" t="inlineStr">
        <is>
          <t>incident-reporter</t>
        </is>
      </c>
      <c r="E2885">
        <f>HYPERLINK("http://gitlab.osmosys.co/incident-reporter/incident-reporter-api", "OQSHA-API")</f>
        <v/>
      </c>
      <c r="F2885">
        <f>HYPERLINK("http://gitlab.osmosys.co/incident-reporter/incident-reporter-api/-/merge_requests/4221", "fix: inspection feed api issue")</f>
        <v/>
      </c>
      <c r="G2885" t="inlineStr">
        <is>
          <t>fix/inspections-feed-api</t>
        </is>
      </c>
      <c r="H2885" t="inlineStr">
        <is>
          <t>sprint-17</t>
        </is>
      </c>
      <c r="I2885" t="inlineStr">
        <is>
          <t>merged</t>
        </is>
      </c>
      <c r="J2885" t="inlineStr"/>
      <c r="K2885" t="inlineStr"/>
      <c r="L2885" t="inlineStr"/>
      <c r="M2885" t="inlineStr"/>
      <c r="N2885" t="inlineStr"/>
      <c r="O2885" t="inlineStr"/>
      <c r="P2885" t="inlineStr"/>
      <c r="Q2885" t="inlineStr"/>
    </row>
    <row r="2886">
      <c r="A2886" t="inlineStr">
        <is>
          <t>bishal.m</t>
        </is>
      </c>
      <c r="B2886" t="inlineStr">
        <is>
          <t>Bishal Mondal</t>
        </is>
      </c>
      <c r="C2886" t="inlineStr">
        <is>
          <t>bishal.m@osmosys.co</t>
        </is>
      </c>
      <c r="D2886" t="inlineStr">
        <is>
          <t>incident-reporter</t>
        </is>
      </c>
      <c r="E2886">
        <f>HYPERLINK("http://gitlab.osmosys.co/incident-reporter/incident-reporter-api", "OQSHA-API")</f>
        <v/>
      </c>
      <c r="F2886">
        <f>HYPERLINK("http://gitlab.osmosys.co/incident-reporter/incident-reporter-api/-/merge_requests/4215", "fix: add changes related to department related comments for tickets")</f>
        <v/>
      </c>
      <c r="G2886" t="inlineStr">
        <is>
          <t>fix/incidents-related-issues</t>
        </is>
      </c>
      <c r="H2886" t="inlineStr">
        <is>
          <t>sprint-17</t>
        </is>
      </c>
      <c r="I2886" t="inlineStr">
        <is>
          <t>merged</t>
        </is>
      </c>
      <c r="J2886" t="inlineStr"/>
      <c r="K2886" t="inlineStr"/>
      <c r="L2886" t="inlineStr"/>
      <c r="M2886" t="inlineStr"/>
      <c r="N2886" t="inlineStr"/>
      <c r="O2886" t="inlineStr"/>
      <c r="P2886" t="inlineStr"/>
      <c r="Q2886" t="inlineStr"/>
    </row>
    <row r="2887">
      <c r="A2887" t="inlineStr">
        <is>
          <t>bishal.m</t>
        </is>
      </c>
      <c r="B2887" t="inlineStr">
        <is>
          <t>Bishal Mondal</t>
        </is>
      </c>
      <c r="C2887" t="inlineStr">
        <is>
          <t>bishal.m@osmosys.co</t>
        </is>
      </c>
      <c r="D2887" t="inlineStr">
        <is>
          <t>incident-reporter</t>
        </is>
      </c>
      <c r="E2887">
        <f>HYPERLINK("http://gitlab.osmosys.co/incident-reporter/incident-reporter-api", "OQSHA-API")</f>
        <v/>
      </c>
      <c r="F2887">
        <f>HYPERLINK("http://gitlab.osmosys.co/incident-reporter/incident-reporter-api/-/merge_requests/4201", "feat: add changes for department id for inspection feed api")</f>
        <v/>
      </c>
      <c r="G2887" t="inlineStr">
        <is>
          <t>feat/add-departmentid-to-inspection-feed-api</t>
        </is>
      </c>
      <c r="H2887" t="inlineStr">
        <is>
          <t>sprint-17</t>
        </is>
      </c>
      <c r="I2887" t="inlineStr">
        <is>
          <t>merged</t>
        </is>
      </c>
      <c r="J2887" t="inlineStr">
        <is>
          <t>621ee3b9dff099f0903efc0fdbb67d1386181244</t>
        </is>
      </c>
      <c r="K2887">
        <f>HYPERLINK("http://gitlab.osmosys.co/incident-reporter/incident-reporter-api/-/merge_requests/4201#note_237745", "Check if this repo function is not being used anywhere else.")</f>
        <v/>
      </c>
      <c r="L2887" t="inlineStr">
        <is>
          <t>2025-07-16 17:21:15.966 IST</t>
        </is>
      </c>
      <c r="M2887" t="inlineStr">
        <is>
          <t>Sindhusha</t>
        </is>
      </c>
      <c r="N2887" t="inlineStr">
        <is>
          <t>Yes</t>
        </is>
      </c>
      <c r="O2887" t="inlineStr">
        <is>
          <t>Yes</t>
        </is>
      </c>
      <c r="P2887" t="inlineStr">
        <is>
          <t>Sindhusha</t>
        </is>
      </c>
      <c r="Q2887" t="inlineStr">
        <is>
          <t>Neutral</t>
        </is>
      </c>
    </row>
    <row r="2888">
      <c r="A2888" t="inlineStr">
        <is>
          <t>bishal.m</t>
        </is>
      </c>
      <c r="B2888" t="inlineStr">
        <is>
          <t>Bishal Mondal</t>
        </is>
      </c>
      <c r="C2888" t="inlineStr">
        <is>
          <t>bishal.m@osmosys.co</t>
        </is>
      </c>
      <c r="D2888" t="inlineStr">
        <is>
          <t>incident-reporter</t>
        </is>
      </c>
      <c r="E2888">
        <f>HYPERLINK("http://gitlab.osmosys.co/incident-reporter/incident-reporter-api", "OQSHA-API")</f>
        <v/>
      </c>
      <c r="F2888">
        <f>HYPERLINK("http://gitlab.osmosys.co/incident-reporter/incident-reporter-api/-/merge_requests/4201", "feat: add changes for department id for inspection feed api")</f>
        <v/>
      </c>
      <c r="G2888" t="inlineStr">
        <is>
          <t>feat/add-departmentid-to-inspection-feed-api</t>
        </is>
      </c>
      <c r="H2888" t="inlineStr">
        <is>
          <t>sprint-17</t>
        </is>
      </c>
      <c r="I2888" t="inlineStr">
        <is>
          <t>merged</t>
        </is>
      </c>
      <c r="J2888" t="inlineStr">
        <is>
          <t>621ee3b9dff099f0903efc0fdbb67d1386181244</t>
        </is>
      </c>
      <c r="K2888">
        <f>HYPERLINK("http://gitlab.osmosys.co/incident-reporter/incident-reporter-api/-/merge_requests/4201#note_237785", "no both the repo functions I modified have 1 reference only")</f>
        <v/>
      </c>
      <c r="L2888" t="inlineStr">
        <is>
          <t>2025-07-16 17:50:43.273 IST</t>
        </is>
      </c>
      <c r="M2888" t="inlineStr">
        <is>
          <t>Bishal Mondal</t>
        </is>
      </c>
      <c r="N2888" t="inlineStr">
        <is>
          <t>No</t>
        </is>
      </c>
      <c r="O2888" t="inlineStr">
        <is>
          <t>Yes</t>
        </is>
      </c>
      <c r="P2888" t="inlineStr">
        <is>
          <t>Sindhusha</t>
        </is>
      </c>
      <c r="Q2888" t="inlineStr">
        <is>
          <t>Neutral</t>
        </is>
      </c>
    </row>
    <row r="2889">
      <c r="A2889" t="inlineStr">
        <is>
          <t>bishal.m</t>
        </is>
      </c>
      <c r="B2889" t="inlineStr">
        <is>
          <t>Bishal Mondal</t>
        </is>
      </c>
      <c r="C2889" t="inlineStr">
        <is>
          <t>bishal.m@osmosys.co</t>
        </is>
      </c>
      <c r="D2889" t="inlineStr">
        <is>
          <t>incident-reporter</t>
        </is>
      </c>
      <c r="E2889">
        <f>HYPERLINK("http://gitlab.osmosys.co/incident-reporter/incident-reporter-api", "OQSHA-API")</f>
        <v/>
      </c>
      <c r="F2889">
        <f>HYPERLINK("http://gitlab.osmosys.co/incident-reporter/incident-reporter-api/-/merge_requests/4176", "feat: modify ticket categories list api to fetch only required properties")</f>
        <v/>
      </c>
      <c r="G2889" t="inlineStr">
        <is>
          <t>feat/modify-list-ticket-categories-api</t>
        </is>
      </c>
      <c r="H2889" t="inlineStr">
        <is>
          <t>sprint-17</t>
        </is>
      </c>
      <c r="I2889" t="inlineStr">
        <is>
          <t>merged</t>
        </is>
      </c>
      <c r="J2889" t="inlineStr">
        <is>
          <t>d126241ba11c5b01a230d1dfe5c27375bc377bc1</t>
        </is>
      </c>
      <c r="K2889">
        <f>HYPERLINK("http://gitlab.osmosys.co/incident-reporter/incident-reporter-api/-/merge_requests/4176#note_237511", "Where is the controller fix for this")</f>
        <v/>
      </c>
      <c r="L2889" t="inlineStr">
        <is>
          <t>2025-07-16 14:37:43.845 IST</t>
        </is>
      </c>
      <c r="M2889" t="inlineStr">
        <is>
          <t>Sindhusha</t>
        </is>
      </c>
      <c r="N2889" t="inlineStr">
        <is>
          <t>Yes</t>
        </is>
      </c>
      <c r="O2889" t="inlineStr">
        <is>
          <t>Yes</t>
        </is>
      </c>
      <c r="P2889" t="inlineStr">
        <is>
          <t>Sindhusha</t>
        </is>
      </c>
      <c r="Q2889" t="inlineStr">
        <is>
          <t>Bad</t>
        </is>
      </c>
    </row>
    <row r="2890">
      <c r="A2890" t="inlineStr">
        <is>
          <t>bishal.m</t>
        </is>
      </c>
      <c r="B2890" t="inlineStr">
        <is>
          <t>Bishal Mondal</t>
        </is>
      </c>
      <c r="C2890" t="inlineStr">
        <is>
          <t>bishal.m@osmosys.co</t>
        </is>
      </c>
      <c r="D2890" t="inlineStr">
        <is>
          <t>incident-reporter</t>
        </is>
      </c>
      <c r="E2890">
        <f>HYPERLINK("http://gitlab.osmosys.co/incident-reporter/incident-reporter-api", "OQSHA-API")</f>
        <v/>
      </c>
      <c r="F2890">
        <f>HYPERLINK("http://gitlab.osmosys.co/incident-reporter/incident-reporter-api/-/merge_requests/4176", "feat: modify ticket categories list api to fetch only required properties")</f>
        <v/>
      </c>
      <c r="G2890" t="inlineStr">
        <is>
          <t>feat/modify-list-ticket-categories-api</t>
        </is>
      </c>
      <c r="H2890" t="inlineStr">
        <is>
          <t>sprint-17</t>
        </is>
      </c>
      <c r="I2890" t="inlineStr">
        <is>
          <t>merged</t>
        </is>
      </c>
      <c r="J2890" t="inlineStr">
        <is>
          <t>d126241ba11c5b01a230d1dfe5c27375bc377bc1</t>
        </is>
      </c>
      <c r="K2890">
        <f>HYPERLINK("http://gitlab.osmosys.co/incident-reporter/incident-reporter-api/-/merge_requests/4176#note_237517", "added controller code changes")</f>
        <v/>
      </c>
      <c r="L2890" t="inlineStr">
        <is>
          <t>2025-07-16 14:43:26.870 IST</t>
        </is>
      </c>
      <c r="M2890" t="inlineStr">
        <is>
          <t>Bishal Mondal</t>
        </is>
      </c>
      <c r="N2890" t="inlineStr">
        <is>
          <t>No</t>
        </is>
      </c>
      <c r="O2890" t="inlineStr">
        <is>
          <t>Yes</t>
        </is>
      </c>
      <c r="P2890" t="inlineStr">
        <is>
          <t>Sindhusha</t>
        </is>
      </c>
      <c r="Q2890" t="inlineStr">
        <is>
          <t>Bad</t>
        </is>
      </c>
    </row>
    <row r="2891">
      <c r="A2891" t="inlineStr">
        <is>
          <t>bishal.m</t>
        </is>
      </c>
      <c r="B2891" t="inlineStr">
        <is>
          <t>Bishal Mondal</t>
        </is>
      </c>
      <c r="C2891" t="inlineStr">
        <is>
          <t>bishal.m@osmosys.co</t>
        </is>
      </c>
      <c r="D2891" t="inlineStr">
        <is>
          <t>incident-reporter</t>
        </is>
      </c>
      <c r="E2891">
        <f>HYPERLINK("http://gitlab.osmosys.co/incident-reporter/incident-reporter-api", "OQSHA-API")</f>
        <v/>
      </c>
      <c r="F2891">
        <f>HYPERLINK("http://gitlab.osmosys.co/incident-reporter/incident-reporter-api/-/merge_requests/4173", "fix: add blank array check for departments for Get Incidents")</f>
        <v/>
      </c>
      <c r="G2891" t="inlineStr">
        <is>
          <t>fix/add-blank-array-check-for-departments</t>
        </is>
      </c>
      <c r="H2891" t="inlineStr">
        <is>
          <t>sprint-17</t>
        </is>
      </c>
      <c r="I2891" t="inlineStr">
        <is>
          <t>merged</t>
        </is>
      </c>
      <c r="J2891" t="inlineStr"/>
      <c r="K2891" t="inlineStr"/>
      <c r="L2891" t="inlineStr"/>
      <c r="M2891" t="inlineStr"/>
      <c r="N2891" t="inlineStr"/>
      <c r="O2891" t="inlineStr"/>
      <c r="P2891" t="inlineStr"/>
      <c r="Q2891" t="inlineStr"/>
    </row>
    <row r="2892">
      <c r="A2892" t="inlineStr">
        <is>
          <t>bishal.m</t>
        </is>
      </c>
      <c r="B2892" t="inlineStr">
        <is>
          <t>Bishal Mondal</t>
        </is>
      </c>
      <c r="C2892" t="inlineStr">
        <is>
          <t>bishal.m@osmosys.co</t>
        </is>
      </c>
      <c r="D2892" t="inlineStr">
        <is>
          <t>incident-reporter</t>
        </is>
      </c>
      <c r="E2892">
        <f>HYPERLINK("http://gitlab.osmosys.co/incident-reporter/incident-reporter-api", "OQSHA-API")</f>
        <v/>
      </c>
      <c r="F2892">
        <f>HYPERLINK("http://gitlab.osmosys.co/incident-reporter/incident-reporter-api/-/merge_requests/4166", "fix: fix the issue with notifications not receiving when pdf is being generated")</f>
        <v/>
      </c>
      <c r="G2892" t="inlineStr">
        <is>
          <t>fix/incident-notifications-assigned-to-issue</t>
        </is>
      </c>
      <c r="H2892" t="inlineStr">
        <is>
          <t>sprint-17</t>
        </is>
      </c>
      <c r="I2892" t="inlineStr">
        <is>
          <t>merged</t>
        </is>
      </c>
      <c r="J2892" t="inlineStr"/>
      <c r="K2892" t="inlineStr"/>
      <c r="L2892" t="inlineStr"/>
      <c r="M2892" t="inlineStr"/>
      <c r="N2892" t="inlineStr"/>
      <c r="O2892" t="inlineStr"/>
      <c r="P2892" t="inlineStr"/>
      <c r="Q2892" t="inlineStr"/>
    </row>
    <row r="2893">
      <c r="A2893" t="inlineStr">
        <is>
          <t>bishal.m</t>
        </is>
      </c>
      <c r="B2893" t="inlineStr">
        <is>
          <t>Bishal Mondal</t>
        </is>
      </c>
      <c r="C2893" t="inlineStr">
        <is>
          <t>bishal.m@osmosys.co</t>
        </is>
      </c>
      <c r="D2893" t="inlineStr">
        <is>
          <t>incident-reporter</t>
        </is>
      </c>
      <c r="E2893">
        <f>HYPERLINK("http://gitlab.osmosys.co/incident-reporter/incident-reporter-api", "OQSHA-API")</f>
        <v/>
      </c>
      <c r="F2893">
        <f>HYPERLINK("http://gitlab.osmosys.co/incident-reporter/incident-reporter-api/-/merge_requests/4165", "fix: fixes issue with export osha report and export pdf issue for safety alerts")</f>
        <v/>
      </c>
      <c r="G2893" t="inlineStr">
        <is>
          <t>fix/safety-alerts-related-issues</t>
        </is>
      </c>
      <c r="H2893" t="inlineStr">
        <is>
          <t>sprint-17</t>
        </is>
      </c>
      <c r="I2893" t="inlineStr">
        <is>
          <t>merged</t>
        </is>
      </c>
      <c r="J2893" t="inlineStr"/>
      <c r="K2893" t="inlineStr"/>
      <c r="L2893" t="inlineStr"/>
      <c r="M2893" t="inlineStr"/>
      <c r="N2893" t="inlineStr"/>
      <c r="O2893" t="inlineStr"/>
      <c r="P2893" t="inlineStr"/>
      <c r="Q2893" t="inlineStr"/>
    </row>
    <row r="2894">
      <c r="A2894" t="inlineStr">
        <is>
          <t>bishal.m</t>
        </is>
      </c>
      <c r="B2894" t="inlineStr">
        <is>
          <t>Bishal Mondal</t>
        </is>
      </c>
      <c r="C2894" t="inlineStr">
        <is>
          <t>bishal.m@osmosys.co</t>
        </is>
      </c>
      <c r="D2894" t="inlineStr">
        <is>
          <t>incident-reporter</t>
        </is>
      </c>
      <c r="E2894">
        <f>HYPERLINK("http://gitlab.osmosys.co/incident-reporter/incident-reporter-api", "OQSHA-API")</f>
        <v/>
      </c>
      <c r="F2894">
        <f>HYPERLINK("http://gitlab.osmosys.co/incident-reporter/incident-reporter-api/-/merge_requests/4164", "fix: fixes issue with export osha report and export pdf issue for safety alerts")</f>
        <v/>
      </c>
      <c r="G2894" t="inlineStr">
        <is>
          <t>fix/safety-alert-issues</t>
        </is>
      </c>
      <c r="H2894" t="inlineStr">
        <is>
          <t>sprint-16_v2</t>
        </is>
      </c>
      <c r="I2894" t="inlineStr">
        <is>
          <t>merged</t>
        </is>
      </c>
      <c r="J2894" t="inlineStr"/>
      <c r="K2894" t="inlineStr"/>
      <c r="L2894" t="inlineStr"/>
      <c r="M2894" t="inlineStr"/>
      <c r="N2894" t="inlineStr"/>
      <c r="O2894" t="inlineStr"/>
      <c r="P2894" t="inlineStr"/>
      <c r="Q2894" t="inlineStr"/>
    </row>
    <row r="2895">
      <c r="A2895" t="inlineStr">
        <is>
          <t>bishal.m</t>
        </is>
      </c>
      <c r="B2895" t="inlineStr">
        <is>
          <t>Bishal Mondal</t>
        </is>
      </c>
      <c r="C2895" t="inlineStr">
        <is>
          <t>bishal.m@osmosys.co</t>
        </is>
      </c>
      <c r="D2895" t="inlineStr">
        <is>
          <t>incident-reporter</t>
        </is>
      </c>
      <c r="E2895">
        <f>HYPERLINK("http://gitlab.osmosys.co/incident-reporter/incident-reporter-api", "OQSHA-API")</f>
        <v/>
      </c>
      <c r="F2895">
        <f>HYPERLINK("http://gitlab.osmosys.co/incident-reporter/incident-reporter-api/-/merge_requests/4155", "fix: fix the issue with notifications not receiving when pdf is being generated")</f>
        <v/>
      </c>
      <c r="G2895" t="inlineStr">
        <is>
          <t>fix/notifications-issue</t>
        </is>
      </c>
      <c r="H2895" t="inlineStr">
        <is>
          <t>sprint-16_v2</t>
        </is>
      </c>
      <c r="I2895" t="inlineStr">
        <is>
          <t>merged</t>
        </is>
      </c>
      <c r="J2895" t="inlineStr"/>
      <c r="K2895" t="inlineStr"/>
      <c r="L2895" t="inlineStr"/>
      <c r="M2895" t="inlineStr"/>
      <c r="N2895" t="inlineStr"/>
      <c r="O2895" t="inlineStr"/>
      <c r="P2895" t="inlineStr"/>
      <c r="Q2895" t="inlineStr"/>
    </row>
    <row r="2896">
      <c r="A2896" t="inlineStr">
        <is>
          <t>bishal.m</t>
        </is>
      </c>
      <c r="B2896" t="inlineStr">
        <is>
          <t>Bishal Mondal</t>
        </is>
      </c>
      <c r="C2896" t="inlineStr">
        <is>
          <t>bishal.m@osmosys.co</t>
        </is>
      </c>
      <c r="D2896" t="inlineStr">
        <is>
          <t>incident-reporter</t>
        </is>
      </c>
      <c r="E2896">
        <f>HYPERLINK("http://gitlab.osmosys.co/incident-reporter/incident-reporter-api", "OQSHA-API")</f>
        <v/>
      </c>
      <c r="F2896">
        <f>HYPERLINK("http://gitlab.osmosys.co/incident-reporter/incident-reporter-api/-/merge_requests/4133", "fix: fix column size for company_name and contact_name for incidents table")</f>
        <v/>
      </c>
      <c r="G2896" t="inlineStr">
        <is>
          <t>fix/fix-fluent-migration-for-reported-by-type-columns</t>
        </is>
      </c>
      <c r="H2896" t="inlineStr">
        <is>
          <t>sprint-17</t>
        </is>
      </c>
      <c r="I2896" t="inlineStr">
        <is>
          <t>merged</t>
        </is>
      </c>
      <c r="J2896" t="inlineStr"/>
      <c r="K2896" t="inlineStr"/>
      <c r="L2896" t="inlineStr"/>
      <c r="M2896" t="inlineStr"/>
      <c r="N2896" t="inlineStr"/>
      <c r="O2896" t="inlineStr"/>
      <c r="P2896" t="inlineStr"/>
      <c r="Q2896" t="inlineStr"/>
    </row>
    <row r="2897">
      <c r="A2897" t="inlineStr">
        <is>
          <t>bishal.m</t>
        </is>
      </c>
      <c r="B2897" t="inlineStr">
        <is>
          <t>Bishal Mondal</t>
        </is>
      </c>
      <c r="C2897" t="inlineStr">
        <is>
          <t>bishal.m@osmosys.co</t>
        </is>
      </c>
      <c r="D2897" t="inlineStr">
        <is>
          <t>incident-reporter</t>
        </is>
      </c>
      <c r="E2897">
        <f>HYPERLINK("http://gitlab.osmosys.co/incident-reporter/incident-reporter-api", "OQSHA-API")</f>
        <v/>
      </c>
      <c r="F2897">
        <f>HYPERLINK("http://gitlab.osmosys.co/incident-reporter/incident-reporter-api/-/merge_requests/4124", "feat: add changes related to reported_by_type for incident APIs")</f>
        <v/>
      </c>
      <c r="G2897" t="inlineStr">
        <is>
          <t>feat/add-reported-by-type-details-to-incidents</t>
        </is>
      </c>
      <c r="H2897" t="inlineStr">
        <is>
          <t>sprint-17</t>
        </is>
      </c>
      <c r="I2897" t="inlineStr">
        <is>
          <t>merged</t>
        </is>
      </c>
      <c r="J2897" t="inlineStr"/>
      <c r="K2897" t="inlineStr"/>
      <c r="L2897" t="inlineStr"/>
      <c r="M2897" t="inlineStr"/>
      <c r="N2897" t="inlineStr"/>
      <c r="O2897" t="inlineStr"/>
      <c r="P2897" t="inlineStr"/>
      <c r="Q2897" t="inlineStr"/>
    </row>
    <row r="2898">
      <c r="A2898" t="inlineStr">
        <is>
          <t>bishal.m</t>
        </is>
      </c>
      <c r="B2898" t="inlineStr">
        <is>
          <t>Bishal Mondal</t>
        </is>
      </c>
      <c r="C2898" t="inlineStr">
        <is>
          <t>bishal.m@osmosys.co</t>
        </is>
      </c>
      <c r="D2898" t="inlineStr">
        <is>
          <t>incident-reporter</t>
        </is>
      </c>
      <c r="E2898">
        <f>HYPERLINK("http://gitlab.osmosys.co/incident-reporter/incident-reporter-api", "OQSHA-API")</f>
        <v/>
      </c>
      <c r="F2898">
        <f>HYPERLINK("http://gitlab.osmosys.co/incident-reporter/incident-reporter-api/-/merge_requests/4123", "Revert "fix: fix pipeline and merge conflicts"")</f>
        <v/>
      </c>
      <c r="G2898" t="inlineStr">
        <is>
          <t>revert-5e5a6e53</t>
        </is>
      </c>
      <c r="H2898" t="inlineStr">
        <is>
          <t>feat/add-reported-by-type-to-incidents</t>
        </is>
      </c>
      <c r="I2898" t="inlineStr">
        <is>
          <t>closed</t>
        </is>
      </c>
      <c r="J2898" t="inlineStr"/>
      <c r="K2898" t="inlineStr"/>
      <c r="L2898" t="inlineStr"/>
      <c r="M2898" t="inlineStr"/>
      <c r="N2898" t="inlineStr"/>
      <c r="O2898" t="inlineStr"/>
      <c r="P2898" t="inlineStr"/>
      <c r="Q2898" t="inlineStr"/>
    </row>
    <row r="2899">
      <c r="A2899" t="inlineStr">
        <is>
          <t>bishal.m</t>
        </is>
      </c>
      <c r="B2899" t="inlineStr">
        <is>
          <t>Bishal Mondal</t>
        </is>
      </c>
      <c r="C2899" t="inlineStr">
        <is>
          <t>bishal.m@osmosys.co</t>
        </is>
      </c>
      <c r="D2899" t="inlineStr">
        <is>
          <t>incident-reporter</t>
        </is>
      </c>
      <c r="E2899">
        <f>HYPERLINK("http://gitlab.osmosys.co/incident-reporter/incident-reporter-api", "OQSHA-API")</f>
        <v/>
      </c>
      <c r="F2899">
        <f>HYPERLINK("http://gitlab.osmosys.co/incident-reporter/incident-reporter-api/-/merge_requests/4111", "fix: fix the issue with update of department_id in for incidents, inspections, hira apis")</f>
        <v/>
      </c>
      <c r="G2899" t="inlineStr">
        <is>
          <t>fix/update-department-in-incidents</t>
        </is>
      </c>
      <c r="H2899" t="inlineStr">
        <is>
          <t>sprint-17</t>
        </is>
      </c>
      <c r="I2899" t="inlineStr">
        <is>
          <t>merged</t>
        </is>
      </c>
      <c r="J2899" t="inlineStr"/>
      <c r="K2899" t="inlineStr"/>
      <c r="L2899" t="inlineStr"/>
      <c r="M2899" t="inlineStr"/>
      <c r="N2899" t="inlineStr"/>
      <c r="O2899" t="inlineStr"/>
      <c r="P2899" t="inlineStr"/>
      <c r="Q2899" t="inlineStr"/>
    </row>
    <row r="2900">
      <c r="A2900" t="inlineStr">
        <is>
          <t>bishal.m</t>
        </is>
      </c>
      <c r="B2900" t="inlineStr">
        <is>
          <t>Bishal Mondal</t>
        </is>
      </c>
      <c r="C2900" t="inlineStr">
        <is>
          <t>bishal.m@osmosys.co</t>
        </is>
      </c>
      <c r="D2900" t="inlineStr">
        <is>
          <t>incident-reporter</t>
        </is>
      </c>
      <c r="E2900">
        <f>HYPERLINK("http://gitlab.osmosys.co/incident-reporter/incident-reporter-api", "OQSHA-API")</f>
        <v/>
      </c>
      <c r="F2900">
        <f>HYPERLINK("http://gitlab.osmosys.co/incident-reporter/incident-reporter-api/-/merge_requests/4102", "Draft: feat: add changes related to association of reported by type to Incidents")</f>
        <v/>
      </c>
      <c r="G2900" t="inlineStr">
        <is>
          <t>feat/add-reported-by-type-to-incidents</t>
        </is>
      </c>
      <c r="H2900" t="inlineStr">
        <is>
          <t>sprint-17</t>
        </is>
      </c>
      <c r="I2900" t="inlineStr">
        <is>
          <t>closed</t>
        </is>
      </c>
      <c r="J2900" t="inlineStr"/>
      <c r="K2900" t="inlineStr"/>
      <c r="L2900" t="inlineStr"/>
      <c r="M2900" t="inlineStr"/>
      <c r="N2900" t="inlineStr"/>
      <c r="O2900" t="inlineStr"/>
      <c r="P2900" t="inlineStr"/>
      <c r="Q2900" t="inlineStr"/>
    </row>
    <row r="2901">
      <c r="A2901" t="inlineStr">
        <is>
          <t>bishal.m</t>
        </is>
      </c>
      <c r="B2901" t="inlineStr">
        <is>
          <t>Bishal Mondal</t>
        </is>
      </c>
      <c r="C2901" t="inlineStr">
        <is>
          <t>bishal.m@osmosys.co</t>
        </is>
      </c>
      <c r="D2901" t="inlineStr">
        <is>
          <t>incident-reporter</t>
        </is>
      </c>
      <c r="E2901">
        <f>HYPERLINK("http://gitlab.osmosys.co/incident-reporter/incident-reporter-api", "OQSHA-API")</f>
        <v/>
      </c>
      <c r="F2901">
        <f>HYPERLINK("http://gitlab.osmosys.co/incident-reporter/incident-reporter-api/-/merge_requests/4098", "feat: add api for upload attachments for esg-energy")</f>
        <v/>
      </c>
      <c r="G2901" t="inlineStr">
        <is>
          <t>feat/upload-media-for-esg-energy</t>
        </is>
      </c>
      <c r="H2901" t="inlineStr">
        <is>
          <t>sprint-18</t>
        </is>
      </c>
      <c r="I2901" t="inlineStr">
        <is>
          <t>opened</t>
        </is>
      </c>
      <c r="J2901" t="inlineStr"/>
      <c r="K2901" t="inlineStr"/>
      <c r="L2901" t="inlineStr"/>
      <c r="M2901" t="inlineStr"/>
      <c r="N2901" t="inlineStr"/>
      <c r="O2901" t="inlineStr"/>
      <c r="P2901" t="inlineStr"/>
      <c r="Q2901" t="inlineStr"/>
    </row>
    <row r="2902">
      <c r="A2902" t="inlineStr">
        <is>
          <t>bishal.m</t>
        </is>
      </c>
      <c r="B2902" t="inlineStr">
        <is>
          <t>Bishal Mondal</t>
        </is>
      </c>
      <c r="C2902" t="inlineStr">
        <is>
          <t>bishal.m@osmosys.co</t>
        </is>
      </c>
      <c r="D2902" t="inlineStr">
        <is>
          <t>incident-reporter</t>
        </is>
      </c>
      <c r="E2902">
        <f>HYPERLINK("http://gitlab.osmosys.co/incident-reporter/incident-reporter-api", "OQSHA-API")</f>
        <v/>
      </c>
      <c r="F2902">
        <f>HYPERLINK("http://gitlab.osmosys.co/incident-reporter/incident-reporter-api/-/merge_requests/4094", "fix: fix issue with export apis for risk assessment and ptw")</f>
        <v/>
      </c>
      <c r="G2902" t="inlineStr">
        <is>
          <t>fix/export-risk-assesment</t>
        </is>
      </c>
      <c r="H2902" t="inlineStr">
        <is>
          <t>sprint-17</t>
        </is>
      </c>
      <c r="I2902" t="inlineStr">
        <is>
          <t>merged</t>
        </is>
      </c>
      <c r="J2902" t="inlineStr"/>
      <c r="K2902" t="inlineStr"/>
      <c r="L2902" t="inlineStr"/>
      <c r="M2902" t="inlineStr"/>
      <c r="N2902" t="inlineStr"/>
      <c r="O2902" t="inlineStr"/>
      <c r="P2902" t="inlineStr"/>
      <c r="Q2902" t="inlineStr"/>
    </row>
    <row r="2903">
      <c r="A2903" t="inlineStr">
        <is>
          <t>bishal.m</t>
        </is>
      </c>
      <c r="B2903" t="inlineStr">
        <is>
          <t>Bishal Mondal</t>
        </is>
      </c>
      <c r="C2903" t="inlineStr">
        <is>
          <t>bishal.m@osmosys.co</t>
        </is>
      </c>
      <c r="D2903" t="inlineStr">
        <is>
          <t>incident-reporter</t>
        </is>
      </c>
      <c r="E2903">
        <f>HYPERLINK("http://gitlab.osmosys.co/incident-reporter/incident-reporter-api", "OQSHA-API")</f>
        <v/>
      </c>
      <c r="F2903">
        <f>HYPERLINK("http://gitlab.osmosys.co/incident-reporter/incident-reporter-api/-/merge_requests/4085", "feat: add get esg energy by id api")</f>
        <v/>
      </c>
      <c r="G2903" t="inlineStr">
        <is>
          <t>feat/get-esg-energy-by-id</t>
        </is>
      </c>
      <c r="H2903" t="inlineStr">
        <is>
          <t>sprint-18</t>
        </is>
      </c>
      <c r="I2903" t="inlineStr">
        <is>
          <t>opened</t>
        </is>
      </c>
      <c r="J2903" t="inlineStr"/>
      <c r="K2903" t="inlineStr"/>
      <c r="L2903" t="inlineStr"/>
      <c r="M2903" t="inlineStr"/>
      <c r="N2903" t="inlineStr"/>
      <c r="O2903" t="inlineStr"/>
      <c r="P2903" t="inlineStr"/>
      <c r="Q2903" t="inlineStr"/>
    </row>
    <row r="2904">
      <c r="A2904" t="inlineStr">
        <is>
          <t>bishal.m</t>
        </is>
      </c>
      <c r="B2904" t="inlineStr">
        <is>
          <t>Bishal Mondal</t>
        </is>
      </c>
      <c r="C2904" t="inlineStr">
        <is>
          <t>bishal.m@osmosys.co</t>
        </is>
      </c>
      <c r="D2904" t="inlineStr">
        <is>
          <t>incident-reporter</t>
        </is>
      </c>
      <c r="E2904">
        <f>HYPERLINK("http://gitlab.osmosys.co/incident-reporter/incident-reporter-api", "OQSHA-API")</f>
        <v/>
      </c>
      <c r="F2904">
        <f>HYPERLINK("http://gitlab.osmosys.co/incident-reporter/incident-reporter-api/-/merge_requests/4075", "feat: add update api for esg energy")</f>
        <v/>
      </c>
      <c r="G2904" t="inlineStr">
        <is>
          <t>feat/update-esg-energy</t>
        </is>
      </c>
      <c r="H2904" t="inlineStr">
        <is>
          <t>sprint-18</t>
        </is>
      </c>
      <c r="I2904" t="inlineStr">
        <is>
          <t>opened</t>
        </is>
      </c>
      <c r="J2904" t="inlineStr"/>
      <c r="K2904" t="inlineStr"/>
      <c r="L2904" t="inlineStr"/>
      <c r="M2904" t="inlineStr"/>
      <c r="N2904" t="inlineStr"/>
      <c r="O2904" t="inlineStr"/>
      <c r="P2904" t="inlineStr"/>
      <c r="Q2904" t="inlineStr"/>
    </row>
    <row r="2905">
      <c r="A2905" t="inlineStr">
        <is>
          <t>bishal.m</t>
        </is>
      </c>
      <c r="B2905" t="inlineStr">
        <is>
          <t>Bishal Mondal</t>
        </is>
      </c>
      <c r="C2905" t="inlineStr">
        <is>
          <t>bishal.m@osmosys.co</t>
        </is>
      </c>
      <c r="D2905" t="inlineStr">
        <is>
          <t>incident-reporter</t>
        </is>
      </c>
      <c r="E2905">
        <f>HYPERLINK("http://gitlab.osmosys.co/incident-reporter/incident-reporter-api", "OQSHA-API")</f>
        <v/>
      </c>
      <c r="F2905">
        <f>HYPERLINK("http://gitlab.osmosys.co/incident-reporter/incident-reporter-api/-/merge_requests/4067", "feat: add department ids to Inspection, PTW, HIRA APIs")</f>
        <v/>
      </c>
      <c r="G2905" t="inlineStr">
        <is>
          <t>feat/add-departmentid-to-apis</t>
        </is>
      </c>
      <c r="H2905" t="inlineStr">
        <is>
          <t>sprint-17</t>
        </is>
      </c>
      <c r="I2905" t="inlineStr">
        <is>
          <t>merged</t>
        </is>
      </c>
      <c r="J2905" t="inlineStr">
        <is>
          <t>fb78e08258fd6e6f7f36721a0e60e2a062f6d096</t>
        </is>
      </c>
      <c r="K2905">
        <f>HYPERLINK("http://gitlab.osmosys.co/incident-reporter/incident-reporter-api/-/merge_requests/4067#note_233434", "Where are other migration files related to inspection &amp; audit log?")</f>
        <v/>
      </c>
      <c r="L2905" t="inlineStr">
        <is>
          <t>2025-07-09 12:16:18.330 IST</t>
        </is>
      </c>
      <c r="M2905" t="inlineStr">
        <is>
          <t>Sindhusha</t>
        </is>
      </c>
      <c r="N2905" t="inlineStr">
        <is>
          <t>Yes</t>
        </is>
      </c>
      <c r="O2905" t="inlineStr">
        <is>
          <t>Yes</t>
        </is>
      </c>
      <c r="P2905" t="inlineStr">
        <is>
          <t>Sindhusha</t>
        </is>
      </c>
      <c r="Q2905" t="inlineStr">
        <is>
          <t>Neutral</t>
        </is>
      </c>
    </row>
    <row r="2906">
      <c r="A2906" t="inlineStr">
        <is>
          <t>bishal.m</t>
        </is>
      </c>
      <c r="B2906" t="inlineStr">
        <is>
          <t>Bishal Mondal</t>
        </is>
      </c>
      <c r="C2906" t="inlineStr">
        <is>
          <t>bishal.m@osmosys.co</t>
        </is>
      </c>
      <c r="D2906" t="inlineStr">
        <is>
          <t>incident-reporter</t>
        </is>
      </c>
      <c r="E2906">
        <f>HYPERLINK("http://gitlab.osmosys.co/incident-reporter/incident-reporter-api", "OQSHA-API")</f>
        <v/>
      </c>
      <c r="F2906">
        <f>HYPERLINK("http://gitlab.osmosys.co/incident-reporter/incident-reporter-api/-/merge_requests/4067", "feat: add department ids to Inspection, PTW, HIRA APIs")</f>
        <v/>
      </c>
      <c r="G2906" t="inlineStr">
        <is>
          <t>feat/add-departmentid-to-apis</t>
        </is>
      </c>
      <c r="H2906" t="inlineStr">
        <is>
          <t>sprint-17</t>
        </is>
      </c>
      <c r="I2906" t="inlineStr">
        <is>
          <t>merged</t>
        </is>
      </c>
      <c r="J2906" t="inlineStr">
        <is>
          <t>fb78e08258fd6e6f7f36721a0e60e2a062f6d096</t>
        </is>
      </c>
      <c r="K2906">
        <f>HYPERLINK("http://gitlab.osmosys.co/incident-reporter/incident-reporter-api/-/merge_requests/4067#note_233453", "For inspections and risk_assessment tables the column is already present with foreign key")</f>
        <v/>
      </c>
      <c r="L2906" t="inlineStr">
        <is>
          <t>2025-07-09 12:26:58.076 IST</t>
        </is>
      </c>
      <c r="M2906" t="inlineStr">
        <is>
          <t>Bishal Mondal</t>
        </is>
      </c>
      <c r="N2906" t="inlineStr">
        <is>
          <t>No</t>
        </is>
      </c>
      <c r="O2906" t="inlineStr">
        <is>
          <t>Yes</t>
        </is>
      </c>
      <c r="P2906" t="inlineStr">
        <is>
          <t>Sindhusha</t>
        </is>
      </c>
      <c r="Q2906" t="inlineStr">
        <is>
          <t>Neutral</t>
        </is>
      </c>
    </row>
    <row r="2907">
      <c r="A2907" t="inlineStr">
        <is>
          <t>bishal.m</t>
        </is>
      </c>
      <c r="B2907" t="inlineStr">
        <is>
          <t>Bishal Mondal</t>
        </is>
      </c>
      <c r="C2907" t="inlineStr">
        <is>
          <t>bishal.m@osmosys.co</t>
        </is>
      </c>
      <c r="D2907" t="inlineStr">
        <is>
          <t>incident-reporter</t>
        </is>
      </c>
      <c r="E2907">
        <f>HYPERLINK("http://gitlab.osmosys.co/incident-reporter/incident-reporter-api", "OQSHA-API")</f>
        <v/>
      </c>
      <c r="F2907">
        <f>HYPERLINK("http://gitlab.osmosys.co/incident-reporter/incident-reporter-api/-/merge_requests/4067", "feat: add department ids to Inspection, PTW, HIRA APIs")</f>
        <v/>
      </c>
      <c r="G2907" t="inlineStr">
        <is>
          <t>feat/add-departmentid-to-apis</t>
        </is>
      </c>
      <c r="H2907" t="inlineStr">
        <is>
          <t>sprint-17</t>
        </is>
      </c>
      <c r="I2907" t="inlineStr">
        <is>
          <t>merged</t>
        </is>
      </c>
      <c r="J2907" t="inlineStr">
        <is>
          <t>fb78e08258fd6e6f7f36721a0e60e2a062f6d096</t>
        </is>
      </c>
      <c r="K2907">
        <f>HYPERLINK("http://gitlab.osmosys.co/incident-reporter/incident-reporter-api/-/merge_requests/4067#note_233460", "Ok.")</f>
        <v/>
      </c>
      <c r="L2907" t="inlineStr">
        <is>
          <t>2025-07-09 12:35:10.774 IST</t>
        </is>
      </c>
      <c r="M2907" t="inlineStr">
        <is>
          <t>Sindhusha</t>
        </is>
      </c>
      <c r="N2907" t="inlineStr">
        <is>
          <t>Yes</t>
        </is>
      </c>
      <c r="O2907" t="inlineStr">
        <is>
          <t>Yes</t>
        </is>
      </c>
      <c r="P2907" t="inlineStr">
        <is>
          <t>Sindhusha</t>
        </is>
      </c>
      <c r="Q2907" t="inlineStr">
        <is>
          <t>Neutral</t>
        </is>
      </c>
    </row>
    <row r="2908">
      <c r="A2908" t="inlineStr">
        <is>
          <t>bishal.m</t>
        </is>
      </c>
      <c r="B2908" t="inlineStr">
        <is>
          <t>Bishal Mondal</t>
        </is>
      </c>
      <c r="C2908" t="inlineStr">
        <is>
          <t>bishal.m@osmosys.co</t>
        </is>
      </c>
      <c r="D2908" t="inlineStr">
        <is>
          <t>incident-reporter</t>
        </is>
      </c>
      <c r="E2908">
        <f>HYPERLINK("http://gitlab.osmosys.co/incident-reporter/incident-reporter-api", "OQSHA-API")</f>
        <v/>
      </c>
      <c r="F2908">
        <f>HYPERLINK("http://gitlab.osmosys.co/incident-reporter/incident-reporter-api/-/merge_requests/4046", "feat: add api to fetch esg energy list")</f>
        <v/>
      </c>
      <c r="G2908" t="inlineStr">
        <is>
          <t>feat/get-esg-energy-list</t>
        </is>
      </c>
      <c r="H2908" t="inlineStr">
        <is>
          <t>sprint-18</t>
        </is>
      </c>
      <c r="I2908" t="inlineStr">
        <is>
          <t>opened</t>
        </is>
      </c>
      <c r="J2908" t="inlineStr"/>
      <c r="K2908" t="inlineStr"/>
      <c r="L2908" t="inlineStr"/>
      <c r="M2908" t="inlineStr"/>
      <c r="N2908" t="inlineStr"/>
      <c r="O2908" t="inlineStr"/>
      <c r="P2908" t="inlineStr"/>
      <c r="Q2908" t="inlineStr"/>
    </row>
    <row r="2909">
      <c r="A2909" t="inlineStr">
        <is>
          <t>bishal.m</t>
        </is>
      </c>
      <c r="B2909" t="inlineStr">
        <is>
          <t>Bishal Mondal</t>
        </is>
      </c>
      <c r="C2909" t="inlineStr">
        <is>
          <t>bishal.m@osmosys.co</t>
        </is>
      </c>
      <c r="D2909" t="inlineStr">
        <is>
          <t>incident-reporter</t>
        </is>
      </c>
      <c r="E2909">
        <f>HYPERLINK("http://gitlab.osmosys.co/incident-reporter/incident-reporter-api", "OQSHA-API")</f>
        <v/>
      </c>
      <c r="F2909">
        <f>HYPERLINK("http://gitlab.osmosys.co/incident-reporter/incident-reporter-api/-/merge_requests/4035", "feat: add post api for esg_energy")</f>
        <v/>
      </c>
      <c r="G2909" t="inlineStr">
        <is>
          <t>feat/create-esg-energy</t>
        </is>
      </c>
      <c r="H2909" t="inlineStr">
        <is>
          <t>sprint-18</t>
        </is>
      </c>
      <c r="I2909" t="inlineStr">
        <is>
          <t>opened</t>
        </is>
      </c>
      <c r="J2909" t="inlineStr"/>
      <c r="K2909" t="inlineStr"/>
      <c r="L2909" t="inlineStr"/>
      <c r="M2909" t="inlineStr"/>
      <c r="N2909" t="inlineStr"/>
      <c r="O2909" t="inlineStr"/>
      <c r="P2909" t="inlineStr"/>
      <c r="Q2909" t="inlineStr"/>
    </row>
    <row r="2910">
      <c r="A2910" t="inlineStr">
        <is>
          <t>bishal.m</t>
        </is>
      </c>
      <c r="B2910" t="inlineStr">
        <is>
          <t>Bishal Mondal</t>
        </is>
      </c>
      <c r="C2910" t="inlineStr">
        <is>
          <t>bishal.m@osmosys.co</t>
        </is>
      </c>
      <c r="D2910" t="inlineStr">
        <is>
          <t>incident-reporter</t>
        </is>
      </c>
      <c r="E2910">
        <f>HYPERLINK("http://gitlab.osmosys.co/incident-reporter/incident-reporter-api", "OQSHA-API")</f>
        <v/>
      </c>
      <c r="F2910">
        <f>HYPERLINK("http://gitlab.osmosys.co/incident-reporter/incident-reporter-api/-/merge_requests/4029", "feat: Add department id to incident apis")</f>
        <v/>
      </c>
      <c r="G2910" t="inlineStr">
        <is>
          <t>feat/add-department-to-incidents</t>
        </is>
      </c>
      <c r="H2910" t="inlineStr">
        <is>
          <t>sprint-17</t>
        </is>
      </c>
      <c r="I2910" t="inlineStr">
        <is>
          <t>merged</t>
        </is>
      </c>
      <c r="J2910" t="inlineStr">
        <is>
          <t>f8c1ee9c491d76d70623dbe9a80b51d624a49af7</t>
        </is>
      </c>
      <c r="K2910">
        <f>HYPERLINK("http://gitlab.osmosys.co/incident-reporter/incident-reporter-api/-/merge_requests/4029#note_231558", "Additional tag, remove it")</f>
        <v/>
      </c>
      <c r="L2910" t="inlineStr">
        <is>
          <t>2025-07-03 12:39:47.246 IST</t>
        </is>
      </c>
      <c r="M2910" t="inlineStr">
        <is>
          <t>Sindhusha</t>
        </is>
      </c>
      <c r="N2910" t="inlineStr">
        <is>
          <t>Yes</t>
        </is>
      </c>
      <c r="O2910" t="inlineStr">
        <is>
          <t>Yes</t>
        </is>
      </c>
      <c r="P2910" t="inlineStr">
        <is>
          <t>Sindhusha</t>
        </is>
      </c>
      <c r="Q2910" t="inlineStr">
        <is>
          <t>Bad</t>
        </is>
      </c>
    </row>
    <row r="2911">
      <c r="A2911" t="inlineStr">
        <is>
          <t>bishal.m</t>
        </is>
      </c>
      <c r="B2911" t="inlineStr">
        <is>
          <t>Bishal Mondal</t>
        </is>
      </c>
      <c r="C2911" t="inlineStr">
        <is>
          <t>bishal.m@osmosys.co</t>
        </is>
      </c>
      <c r="D2911" t="inlineStr">
        <is>
          <t>incident-reporter</t>
        </is>
      </c>
      <c r="E2911">
        <f>HYPERLINK("http://gitlab.osmosys.co/incident-reporter/incident-reporter-api", "OQSHA-API")</f>
        <v/>
      </c>
      <c r="F2911">
        <f>HYPERLINK("http://gitlab.osmosys.co/incident-reporter/incident-reporter-api/-/merge_requests/4029", "feat: Add department id to incident apis")</f>
        <v/>
      </c>
      <c r="G2911" t="inlineStr">
        <is>
          <t>feat/add-department-to-incidents</t>
        </is>
      </c>
      <c r="H2911" t="inlineStr">
        <is>
          <t>sprint-17</t>
        </is>
      </c>
      <c r="I2911" t="inlineStr">
        <is>
          <t>merged</t>
        </is>
      </c>
      <c r="J2911" t="inlineStr">
        <is>
          <t>f8c1ee9c491d76d70623dbe9a80b51d624a49af7</t>
        </is>
      </c>
      <c r="K2911">
        <f>HYPERLINK("http://gitlab.osmosys.co/incident-reporter/incident-reporter-api/-/merge_requests/4029#note_231691", "No additional tag was there.")</f>
        <v/>
      </c>
      <c r="L2911" t="inlineStr">
        <is>
          <t>2025-07-03 16:59:51.279 IST</t>
        </is>
      </c>
      <c r="M2911" t="inlineStr">
        <is>
          <t>Bishal Mondal</t>
        </is>
      </c>
      <c r="N2911" t="inlineStr">
        <is>
          <t>No</t>
        </is>
      </c>
      <c r="O2911" t="inlineStr">
        <is>
          <t>Yes</t>
        </is>
      </c>
      <c r="P2911" t="inlineStr">
        <is>
          <t>Sindhusha</t>
        </is>
      </c>
      <c r="Q2911" t="inlineStr">
        <is>
          <t>Bad</t>
        </is>
      </c>
    </row>
    <row r="2912">
      <c r="A2912" t="inlineStr">
        <is>
          <t>bishal.m</t>
        </is>
      </c>
      <c r="B2912" t="inlineStr">
        <is>
          <t>Bishal Mondal</t>
        </is>
      </c>
      <c r="C2912" t="inlineStr">
        <is>
          <t>bishal.m@osmosys.co</t>
        </is>
      </c>
      <c r="D2912" t="inlineStr">
        <is>
          <t>incident-reporter</t>
        </is>
      </c>
      <c r="E2912">
        <f>HYPERLINK("http://gitlab.osmosys.co/incident-reporter/incident-reporter-api", "OQSHA-API")</f>
        <v/>
      </c>
      <c r="F2912">
        <f>HYPERLINK("http://gitlab.osmosys.co/incident-reporter/incident-reporter-api/-/merge_requests/4029", "feat: Add department id to incident apis")</f>
        <v/>
      </c>
      <c r="G2912" t="inlineStr">
        <is>
          <t>feat/add-department-to-incidents</t>
        </is>
      </c>
      <c r="H2912" t="inlineStr">
        <is>
          <t>sprint-17</t>
        </is>
      </c>
      <c r="I2912" t="inlineStr">
        <is>
          <t>merged</t>
        </is>
      </c>
      <c r="J2912" t="inlineStr">
        <is>
          <t>778e7fe419199165771d6043518959341d564986</t>
        </is>
      </c>
      <c r="K2912">
        <f>HYPERLINK("http://gitlab.osmosys.co/incident-reporter/incident-reporter-api/-/merge_requests/4029#note_231560", "We need foreign key for this.")</f>
        <v/>
      </c>
      <c r="L2912" t="inlineStr">
        <is>
          <t>2025-07-03 12:41:36.411 IST</t>
        </is>
      </c>
      <c r="M2912" t="inlineStr">
        <is>
          <t>Sindhusha</t>
        </is>
      </c>
      <c r="N2912" t="inlineStr">
        <is>
          <t>Yes</t>
        </is>
      </c>
      <c r="O2912" t="inlineStr">
        <is>
          <t>Yes</t>
        </is>
      </c>
      <c r="P2912" t="inlineStr">
        <is>
          <t>Sindhusha</t>
        </is>
      </c>
      <c r="Q2912" t="inlineStr">
        <is>
          <t>Bad</t>
        </is>
      </c>
    </row>
    <row r="2913">
      <c r="A2913" t="inlineStr">
        <is>
          <t>bishal.m</t>
        </is>
      </c>
      <c r="B2913" t="inlineStr">
        <is>
          <t>Bishal Mondal</t>
        </is>
      </c>
      <c r="C2913" t="inlineStr">
        <is>
          <t>bishal.m@osmosys.co</t>
        </is>
      </c>
      <c r="D2913" t="inlineStr">
        <is>
          <t>incident-reporter</t>
        </is>
      </c>
      <c r="E2913">
        <f>HYPERLINK("http://gitlab.osmosys.co/incident-reporter/incident-reporter-api", "OQSHA-API")</f>
        <v/>
      </c>
      <c r="F2913">
        <f>HYPERLINK("http://gitlab.osmosys.co/incident-reporter/incident-reporter-api/-/merge_requests/4029", "feat: Add department id to incident apis")</f>
        <v/>
      </c>
      <c r="G2913" t="inlineStr">
        <is>
          <t>feat/add-department-to-incidents</t>
        </is>
      </c>
      <c r="H2913" t="inlineStr">
        <is>
          <t>sprint-17</t>
        </is>
      </c>
      <c r="I2913" t="inlineStr">
        <is>
          <t>merged</t>
        </is>
      </c>
      <c r="J2913" t="inlineStr">
        <is>
          <t>778e7fe419199165771d6043518959341d564986</t>
        </is>
      </c>
      <c r="K2913">
        <f>HYPERLINK("http://gitlab.osmosys.co/incident-reporter/incident-reporter-api/-/merge_requests/4029#note_231692", "Added foreign key")</f>
        <v/>
      </c>
      <c r="L2913" t="inlineStr">
        <is>
          <t>2025-07-03 17:00:12.018 IST</t>
        </is>
      </c>
      <c r="M2913" t="inlineStr">
        <is>
          <t>Bishal Mondal</t>
        </is>
      </c>
      <c r="N2913" t="inlineStr">
        <is>
          <t>No</t>
        </is>
      </c>
      <c r="O2913" t="inlineStr">
        <is>
          <t>Yes</t>
        </is>
      </c>
      <c r="P2913" t="inlineStr">
        <is>
          <t>Sindhusha</t>
        </is>
      </c>
      <c r="Q2913" t="inlineStr">
        <is>
          <t>Bad</t>
        </is>
      </c>
    </row>
    <row r="2914">
      <c r="A2914" t="inlineStr">
        <is>
          <t>bishal.m</t>
        </is>
      </c>
      <c r="B2914" t="inlineStr">
        <is>
          <t>Bishal Mondal</t>
        </is>
      </c>
      <c r="C2914" t="inlineStr">
        <is>
          <t>bishal.m@osmosys.co</t>
        </is>
      </c>
      <c r="D2914" t="inlineStr">
        <is>
          <t>incident-reporter</t>
        </is>
      </c>
      <c r="E2914">
        <f>HYPERLINK("http://gitlab.osmosys.co/incident-reporter/incident-reporter-api", "OQSHA-API")</f>
        <v/>
      </c>
      <c r="F2914">
        <f>HYPERLINK("http://gitlab.osmosys.co/incident-reporter/incident-reporter-api/-/merge_requests/4027", "feat: add fluent migration for esg energy")</f>
        <v/>
      </c>
      <c r="G2914" t="inlineStr">
        <is>
          <t>feat/esg-energy-database</t>
        </is>
      </c>
      <c r="H2914" t="inlineStr">
        <is>
          <t>sprint-18</t>
        </is>
      </c>
      <c r="I2914" t="inlineStr">
        <is>
          <t>opened</t>
        </is>
      </c>
      <c r="J2914" t="inlineStr"/>
      <c r="K2914" t="inlineStr"/>
      <c r="L2914" t="inlineStr"/>
      <c r="M2914" t="inlineStr"/>
      <c r="N2914" t="inlineStr"/>
      <c r="O2914" t="inlineStr"/>
      <c r="P2914" t="inlineStr"/>
      <c r="Q2914" t="inlineStr"/>
    </row>
    <row r="2915">
      <c r="A2915" t="inlineStr">
        <is>
          <t>ayush.b</t>
        </is>
      </c>
      <c r="B2915" t="inlineStr">
        <is>
          <t>Ayush Bikram Singh Deo</t>
        </is>
      </c>
      <c r="C2915" t="inlineStr">
        <is>
          <t>ayush.b@osmosys.co</t>
        </is>
      </c>
      <c r="D2915" t="inlineStr">
        <is>
          <t>tp</t>
        </is>
      </c>
      <c r="E2915">
        <f>HYPERLINK("http://gitlab.osmosys.co/tp/TalonProAPI", "TalonProAPI")</f>
        <v/>
      </c>
      <c r="F2915">
        <f>HYPERLINK("http://gitlab.osmosys.co/tp/TalonProAPI/-/merge_requests/2130", "Fix casting error in RentRoll Worksheet")</f>
        <v/>
      </c>
      <c r="G2915" t="inlineStr">
        <is>
          <t>Rent_Roll_Casting_Issue_Fix</t>
        </is>
      </c>
      <c r="H2915" t="inlineStr">
        <is>
          <t>Staging_Development</t>
        </is>
      </c>
      <c r="I2915" t="inlineStr">
        <is>
          <t>merged</t>
        </is>
      </c>
      <c r="J2915" t="inlineStr"/>
      <c r="K2915" t="inlineStr"/>
      <c r="L2915" t="inlineStr"/>
      <c r="M2915" t="inlineStr"/>
      <c r="N2915" t="inlineStr"/>
      <c r="O2915" t="inlineStr"/>
      <c r="P2915" t="inlineStr"/>
      <c r="Q2915" t="inlineStr"/>
    </row>
    <row r="2916">
      <c r="A2916" t="inlineStr">
        <is>
          <t>ayush.b</t>
        </is>
      </c>
      <c r="B2916" t="inlineStr">
        <is>
          <t>Ayush Bikram Singh Deo</t>
        </is>
      </c>
      <c r="C2916" t="inlineStr">
        <is>
          <t>ayush.b@osmosys.co</t>
        </is>
      </c>
      <c r="D2916" t="inlineStr">
        <is>
          <t>tp</t>
        </is>
      </c>
      <c r="E2916">
        <f>HYPERLINK("http://gitlab.osmosys.co/tp/TalonProAPI", "TalonProAPI")</f>
        <v/>
      </c>
      <c r="F2916">
        <f>HYPERLINK("http://gitlab.osmosys.co/tp/TalonProAPI/-/merge_requests/2125", "T18402 Added a new report Monthly Small Report based on Z monthly [Live]")</f>
        <v/>
      </c>
      <c r="G2916" t="inlineStr">
        <is>
          <t>T18402_Live_MonthlySmallReport</t>
        </is>
      </c>
      <c r="H2916" t="inlineStr">
        <is>
          <t>Staging_Development</t>
        </is>
      </c>
      <c r="I2916" t="inlineStr">
        <is>
          <t>merged</t>
        </is>
      </c>
      <c r="J2916" t="inlineStr"/>
      <c r="K2916" t="inlineStr"/>
      <c r="L2916" t="inlineStr"/>
      <c r="M2916" t="inlineStr"/>
      <c r="N2916" t="inlineStr"/>
      <c r="O2916" t="inlineStr"/>
      <c r="P2916" t="inlineStr"/>
      <c r="Q2916" t="inlineStr"/>
    </row>
    <row r="2917">
      <c r="A2917" t="inlineStr">
        <is>
          <t>ayush.b</t>
        </is>
      </c>
      <c r="B2917" t="inlineStr">
        <is>
          <t>Ayush Bikram Singh Deo</t>
        </is>
      </c>
      <c r="C2917" t="inlineStr">
        <is>
          <t>ayush.b@osmosys.co</t>
        </is>
      </c>
      <c r="D2917" t="inlineStr">
        <is>
          <t>tp</t>
        </is>
      </c>
      <c r="E2917">
        <f>HYPERLINK("http://gitlab.osmosys.co/tp/TalonProAPI", "TalonProAPI")</f>
        <v/>
      </c>
      <c r="F2917">
        <f>HYPERLINK("http://gitlab.osmosys.co/tp/TalonProAPI/-/merge_requests/2116", "Optmization for GetVendorGuestChargeLevel API")</f>
        <v/>
      </c>
      <c r="G2917" t="inlineStr">
        <is>
          <t>Optimization_Vendor_Charge</t>
        </is>
      </c>
      <c r="H2917" t="inlineStr">
        <is>
          <t>Staging_Development</t>
        </is>
      </c>
      <c r="I2917" t="inlineStr">
        <is>
          <t>merged</t>
        </is>
      </c>
      <c r="J2917" t="inlineStr">
        <is>
          <t>d60cd50bb70072e5318db0326fe1b2e40fae9836</t>
        </is>
      </c>
      <c r="K2917">
        <f>HYPERLINK("http://gitlab.osmosys.co/tp/TalonProAPI/-/merge_requests/2116#note_243682", "Make sure not to update the SP names differently @ayush.b")</f>
        <v/>
      </c>
      <c r="L2917" t="inlineStr">
        <is>
          <t>2025-07-29 13:31:50.821 IST</t>
        </is>
      </c>
      <c r="M2917" t="inlineStr">
        <is>
          <t xml:space="preserve">Mandali Harshavardhan </t>
        </is>
      </c>
      <c r="N2917" t="inlineStr">
        <is>
          <t>Yes</t>
        </is>
      </c>
      <c r="O2917" t="inlineStr">
        <is>
          <t>No</t>
        </is>
      </c>
      <c r="P2917" t="inlineStr"/>
      <c r="Q2917" t="inlineStr">
        <is>
          <t>Bad</t>
        </is>
      </c>
    </row>
    <row r="2918">
      <c r="A2918" t="inlineStr">
        <is>
          <t>ayush.b</t>
        </is>
      </c>
      <c r="B2918" t="inlineStr">
        <is>
          <t>Ayush Bikram Singh Deo</t>
        </is>
      </c>
      <c r="C2918" t="inlineStr">
        <is>
          <t>ayush.b@osmosys.co</t>
        </is>
      </c>
      <c r="D2918" t="inlineStr">
        <is>
          <t>tp</t>
        </is>
      </c>
      <c r="E2918">
        <f>HYPERLINK("http://gitlab.osmosys.co/tp/TalonProAPI", "TalonProAPI")</f>
        <v/>
      </c>
      <c r="F2918">
        <f>HYPERLINK("http://gitlab.osmosys.co/tp/TalonProAPI/-/merge_requests/2099", "T18402  Added a new report Monthly Small Report based on Z monthly report with...")</f>
        <v/>
      </c>
      <c r="G2918" t="inlineStr">
        <is>
          <t>MonthlySmallReport</t>
        </is>
      </c>
      <c r="H2918" t="inlineStr">
        <is>
          <t>PreTest_Development</t>
        </is>
      </c>
      <c r="I2918" t="inlineStr">
        <is>
          <t>merged</t>
        </is>
      </c>
      <c r="J2918" t="inlineStr"/>
      <c r="K2918" t="inlineStr"/>
      <c r="L2918" t="inlineStr"/>
      <c r="M2918" t="inlineStr"/>
      <c r="N2918" t="inlineStr"/>
      <c r="O2918" t="inlineStr"/>
      <c r="P2918" t="inlineStr"/>
      <c r="Q2918" t="inlineStr"/>
    </row>
    <row r="2919">
      <c r="A2919" t="inlineStr">
        <is>
          <t>ayush.b</t>
        </is>
      </c>
      <c r="B2919" t="inlineStr">
        <is>
          <t>Ayush Bikram Singh Deo</t>
        </is>
      </c>
      <c r="C2919" t="inlineStr">
        <is>
          <t>ayush.b@osmosys.co</t>
        </is>
      </c>
      <c r="D2919" t="inlineStr">
        <is>
          <t>tp</t>
        </is>
      </c>
      <c r="E2919">
        <f>HYPERLINK("http://gitlab.osmosys.co/tp/TalonProAPI", "TalonProAPI")</f>
        <v/>
      </c>
      <c r="F2919">
        <f>HYPERLINK("http://gitlab.osmosys.co/tp/TalonProAPI/-/merge_requests/2088", "Add Monthly Small Report Based on Z Monthly Report with ALT Housing Tab")</f>
        <v/>
      </c>
      <c r="G2919" t="inlineStr">
        <is>
          <t>Monthly_Small_Report</t>
        </is>
      </c>
      <c r="H2919" t="inlineStr">
        <is>
          <t>PreTest_Development</t>
        </is>
      </c>
      <c r="I2919" t="inlineStr">
        <is>
          <t>opened</t>
        </is>
      </c>
      <c r="J2919" t="inlineStr"/>
      <c r="K2919" t="inlineStr"/>
      <c r="L2919" t="inlineStr"/>
      <c r="M2919" t="inlineStr"/>
      <c r="N2919" t="inlineStr"/>
      <c r="O2919" t="inlineStr"/>
      <c r="P2919" t="inlineStr"/>
      <c r="Q2919" t="inlineStr"/>
    </row>
    <row r="2920">
      <c r="A2920" t="inlineStr">
        <is>
          <t>ayush.b</t>
        </is>
      </c>
      <c r="B2920" t="inlineStr">
        <is>
          <t>Ayush Bikram Singh Deo</t>
        </is>
      </c>
      <c r="C2920" t="inlineStr">
        <is>
          <t>ayush.b@osmosys.co</t>
        </is>
      </c>
      <c r="D2920" t="inlineStr">
        <is>
          <t>tp</t>
        </is>
      </c>
      <c r="E2920">
        <f>HYPERLINK("http://gitlab.osmosys.co/tp/TalonProAPI", "TalonProAPI")</f>
        <v/>
      </c>
      <c r="F2920">
        <f>HYPERLINK("http://gitlab.osmosys.co/tp/TalonProAPI/-/merge_requests/2087", "T16096 - Restrict ALT charges from appearing for non-ALT files in Pick a Charge")</f>
        <v/>
      </c>
      <c r="G2920" t="inlineStr">
        <is>
          <t>T16096_ALt_Charge_Restriction</t>
        </is>
      </c>
      <c r="H2920" t="inlineStr">
        <is>
          <t>PreTest_Development</t>
        </is>
      </c>
      <c r="I2920" t="inlineStr">
        <is>
          <t>merged</t>
        </is>
      </c>
      <c r="J2920" t="inlineStr"/>
      <c r="K2920" t="inlineStr"/>
      <c r="L2920" t="inlineStr"/>
      <c r="M2920" t="inlineStr"/>
      <c r="N2920" t="inlineStr"/>
      <c r="O2920" t="inlineStr"/>
      <c r="P2920" t="inlineStr"/>
      <c r="Q2920" t="inlineStr"/>
    </row>
    <row r="2921">
      <c r="A2921" t="inlineStr">
        <is>
          <t>ayush.b</t>
        </is>
      </c>
      <c r="B2921" t="inlineStr">
        <is>
          <t>Ayush Bikram Singh Deo</t>
        </is>
      </c>
      <c r="C2921" t="inlineStr">
        <is>
          <t>ayush.b@osmosys.co</t>
        </is>
      </c>
      <c r="D2921" t="inlineStr">
        <is>
          <t>tp</t>
        </is>
      </c>
      <c r="E2921">
        <f>HYPERLINK("http://gitlab.osmosys.co/tp/TalonProAPI", "TalonProAPI")</f>
        <v/>
      </c>
      <c r="F2921">
        <f>HYPERLINK("http://gitlab.osmosys.co/tp/TalonProAPI/-/merge_requests/2085", "T16096 – Restrict ALT charges from appearing for non-ALT files in Pick a Charge")</f>
        <v/>
      </c>
      <c r="G2921" t="inlineStr">
        <is>
          <t>ALT_charge_Restriction_TP360</t>
        </is>
      </c>
      <c r="H2921" t="inlineStr">
        <is>
          <t>Staging_Development</t>
        </is>
      </c>
      <c r="I2921" t="inlineStr">
        <is>
          <t>merged</t>
        </is>
      </c>
      <c r="J2921" t="inlineStr"/>
      <c r="K2921" t="inlineStr"/>
      <c r="L2921" t="inlineStr"/>
      <c r="M2921" t="inlineStr"/>
      <c r="N2921" t="inlineStr"/>
      <c r="O2921" t="inlineStr"/>
      <c r="P2921" t="inlineStr"/>
      <c r="Q2921" t="inlineStr"/>
    </row>
    <row r="2922">
      <c r="A2922" t="inlineStr">
        <is>
          <t>ayush.b</t>
        </is>
      </c>
      <c r="B2922" t="inlineStr">
        <is>
          <t>Ayush Bikram Singh Deo</t>
        </is>
      </c>
      <c r="C2922" t="inlineStr">
        <is>
          <t>ayush.b@osmosys.co</t>
        </is>
      </c>
      <c r="D2922" t="inlineStr">
        <is>
          <t>tp</t>
        </is>
      </c>
      <c r="E2922">
        <f>HYPERLINK("http://gitlab.osmosys.co/tp/TalonProAPI", "TalonProAPI")</f>
        <v/>
      </c>
      <c r="F2922">
        <f>HYPERLINK("http://gitlab.osmosys.co/tp/TalonProAPI/-/merge_requests/2069", "Fix: Handle empty date strings in Furniture Block API to prevent unintended 1900-01-01 values T17785")</f>
        <v/>
      </c>
      <c r="G2922" t="inlineStr">
        <is>
          <t>data_entry_furniture_date_issue</t>
        </is>
      </c>
      <c r="H2922" t="inlineStr">
        <is>
          <t>Staging_Development</t>
        </is>
      </c>
      <c r="I2922" t="inlineStr">
        <is>
          <t>merged</t>
        </is>
      </c>
      <c r="J2922" t="inlineStr"/>
      <c r="K2922" t="inlineStr"/>
      <c r="L2922" t="inlineStr"/>
      <c r="M2922" t="inlineStr"/>
      <c r="N2922" t="inlineStr"/>
      <c r="O2922" t="inlineStr"/>
      <c r="P2922" t="inlineStr"/>
      <c r="Q2922" t="inlineStr"/>
    </row>
    <row r="2923">
      <c r="A2923" t="inlineStr">
        <is>
          <t>shreyansh.j</t>
        </is>
      </c>
      <c r="B2923" t="inlineStr">
        <is>
          <t>Shreyansh Jain</t>
        </is>
      </c>
      <c r="C2923" t="inlineStr">
        <is>
          <t>shreyansh.j@osmosys.co</t>
        </is>
      </c>
      <c r="D2923" t="inlineStr">
        <is>
          <t>incident-reporter</t>
        </is>
      </c>
      <c r="E2923">
        <f>HYPERLINK("http://gitlab.osmosys.co/incident-reporter/incident-reporter-api", "OQSHA-API")</f>
        <v/>
      </c>
      <c r="F2923">
        <f>HYPERLINK("http://gitlab.osmosys.co/incident-reporter/incident-reporter-api/-/merge_requests/4422", "fix: manage face detector service from deploy job")</f>
        <v/>
      </c>
      <c r="G2923" t="inlineStr">
        <is>
          <t>fix/face-detector-deploy-job-manage-service</t>
        </is>
      </c>
      <c r="H2923" t="inlineStr">
        <is>
          <t>sprint-18</t>
        </is>
      </c>
      <c r="I2923" t="inlineStr">
        <is>
          <t>merged</t>
        </is>
      </c>
      <c r="J2923" t="inlineStr"/>
      <c r="K2923" t="inlineStr"/>
      <c r="L2923" t="inlineStr"/>
      <c r="M2923" t="inlineStr"/>
      <c r="N2923" t="inlineStr"/>
      <c r="O2923" t="inlineStr"/>
      <c r="P2923" t="inlineStr"/>
      <c r="Q2923" t="inlineStr"/>
    </row>
    <row r="2924">
      <c r="A2924" t="inlineStr">
        <is>
          <t>shreyansh.j</t>
        </is>
      </c>
      <c r="B2924" t="inlineStr">
        <is>
          <t>Shreyansh Jain</t>
        </is>
      </c>
      <c r="C2924" t="inlineStr">
        <is>
          <t>shreyansh.j@osmosys.co</t>
        </is>
      </c>
      <c r="D2924" t="inlineStr">
        <is>
          <t>incident-reporter</t>
        </is>
      </c>
      <c r="E2924">
        <f>HYPERLINK("http://gitlab.osmosys.co/incident-reporter/incident-reporter-api", "OQSHA-API")</f>
        <v/>
      </c>
      <c r="F2924">
        <f>HYPERLINK("http://gitlab.osmosys.co/incident-reporter/incident-reporter-api/-/merge_requests/4118", "ci: add deploy jobs for migration and face detector")</f>
        <v/>
      </c>
      <c r="G2924" t="inlineStr">
        <is>
          <t>feat/add-deploy-jobs-for-migration-and-face-detector</t>
        </is>
      </c>
      <c r="H2924" t="inlineStr">
        <is>
          <t>sprint-18</t>
        </is>
      </c>
      <c r="I2924" t="inlineStr">
        <is>
          <t>merged</t>
        </is>
      </c>
      <c r="J2924" t="inlineStr"/>
      <c r="K2924" t="inlineStr"/>
      <c r="L2924" t="inlineStr"/>
      <c r="M2924" t="inlineStr"/>
      <c r="N2924" t="inlineStr"/>
      <c r="O2924" t="inlineStr"/>
      <c r="P2924" t="inlineStr"/>
      <c r="Q2924" t="inlineStr"/>
    </row>
    <row r="2925">
      <c r="A2925" t="inlineStr">
        <is>
          <t>shreyansh.j</t>
        </is>
      </c>
      <c r="B2925" t="inlineStr">
        <is>
          <t>Shreyansh Jain</t>
        </is>
      </c>
      <c r="C2925" t="inlineStr">
        <is>
          <t>shreyansh.j@osmosys.co</t>
        </is>
      </c>
      <c r="D2925" t="inlineStr">
        <is>
          <t>talking-buddy</t>
        </is>
      </c>
      <c r="E2925">
        <f>HYPERLINK("http://gitlab.osmosys.co/talking-buddy/api", "api")</f>
        <v/>
      </c>
      <c r="F2925">
        <f>HYPERLINK("http://gitlab.osmosys.co/talking-buddy/api/-/merge_requests/271", "fix: update invoice email format and team name format")</f>
        <v/>
      </c>
      <c r="G2925" t="inlineStr">
        <is>
          <t>fix/update-invoice-email-format</t>
        </is>
      </c>
      <c r="H2925" t="inlineStr">
        <is>
          <t>main</t>
        </is>
      </c>
      <c r="I2925" t="inlineStr">
        <is>
          <t>merged</t>
        </is>
      </c>
      <c r="J2925" t="inlineStr"/>
      <c r="K2925" t="inlineStr"/>
      <c r="L2925" t="inlineStr"/>
      <c r="M2925" t="inlineStr"/>
      <c r="N2925" t="inlineStr"/>
      <c r="O2925" t="inlineStr"/>
      <c r="P2925" t="inlineStr"/>
      <c r="Q2925" t="inlineStr"/>
    </row>
    <row r="2926">
      <c r="A2926" t="inlineStr">
        <is>
          <t>shreyansh.j</t>
        </is>
      </c>
      <c r="B2926" t="inlineStr">
        <is>
          <t>Shreyansh Jain</t>
        </is>
      </c>
      <c r="C2926" t="inlineStr">
        <is>
          <t>shreyansh.j@osmosys.co</t>
        </is>
      </c>
      <c r="D2926" t="inlineStr">
        <is>
          <t>talking-buddy</t>
        </is>
      </c>
      <c r="E2926">
        <f>HYPERLINK("http://gitlab.osmosys.co/talking-buddy/api", "api")</f>
        <v/>
      </c>
      <c r="F2926">
        <f>HYPERLINK("http://gitlab.osmosys.co/talking-buddy/api/-/merge_requests/270", "fix: render reviewer comment in update dispute email")</f>
        <v/>
      </c>
      <c r="G2926" t="inlineStr">
        <is>
          <t>fix/render-reviewer-comment-in-update-dispute-email</t>
        </is>
      </c>
      <c r="H2926" t="inlineStr">
        <is>
          <t>main</t>
        </is>
      </c>
      <c r="I2926" t="inlineStr">
        <is>
          <t>merged</t>
        </is>
      </c>
      <c r="J2926" t="inlineStr"/>
      <c r="K2926" t="inlineStr"/>
      <c r="L2926" t="inlineStr"/>
      <c r="M2926" t="inlineStr"/>
      <c r="N2926" t="inlineStr"/>
      <c r="O2926" t="inlineStr"/>
      <c r="P2926" t="inlineStr"/>
      <c r="Q2926" t="inlineStr"/>
    </row>
    <row r="2927">
      <c r="A2927" t="inlineStr">
        <is>
          <t>shreyansh.j</t>
        </is>
      </c>
      <c r="B2927" t="inlineStr">
        <is>
          <t>Shreyansh Jain</t>
        </is>
      </c>
      <c r="C2927" t="inlineStr">
        <is>
          <t>shreyansh.j@osmosys.co</t>
        </is>
      </c>
      <c r="D2927" t="inlineStr">
        <is>
          <t>talking-buddy</t>
        </is>
      </c>
      <c r="E2927">
        <f>HYPERLINK("http://gitlab.osmosys.co/talking-buddy/api", "api")</f>
        <v/>
      </c>
      <c r="F2927">
        <f>HYPERLINK("http://gitlab.osmosys.co/talking-buddy/api/-/merge_requests/269", "fix: enable invoice pdf and add business detail in pdf template")</f>
        <v/>
      </c>
      <c r="G2927" t="inlineStr">
        <is>
          <t>fix/enable-invoice-pdf-and-update-layout</t>
        </is>
      </c>
      <c r="H2927" t="inlineStr">
        <is>
          <t>main</t>
        </is>
      </c>
      <c r="I2927" t="inlineStr">
        <is>
          <t>merged</t>
        </is>
      </c>
      <c r="J2927" t="inlineStr"/>
      <c r="K2927" t="inlineStr"/>
      <c r="L2927" t="inlineStr"/>
      <c r="M2927" t="inlineStr"/>
      <c r="N2927" t="inlineStr"/>
      <c r="O2927" t="inlineStr"/>
      <c r="P2927" t="inlineStr"/>
      <c r="Q2927" t="inlineStr"/>
    </row>
    <row r="2928">
      <c r="A2928" t="inlineStr">
        <is>
          <t>shreyansh.j</t>
        </is>
      </c>
      <c r="B2928" t="inlineStr">
        <is>
          <t>Shreyansh Jain</t>
        </is>
      </c>
      <c r="C2928" t="inlineStr">
        <is>
          <t>shreyansh.j@osmosys.co</t>
        </is>
      </c>
      <c r="D2928" t="inlineStr">
        <is>
          <t>talking-buddy</t>
        </is>
      </c>
      <c r="E2928">
        <f>HYPERLINK("http://gitlab.osmosys.co/talking-buddy/api", "api")</f>
        <v/>
      </c>
      <c r="F2928">
        <f>HYPERLINK("http://gitlab.osmosys.co/talking-buddy/api/-/merge_requests/268", "feat: add hosted service for call recordings housekeeping")</f>
        <v/>
      </c>
      <c r="G2928" t="inlineStr">
        <is>
          <t>feat/add-hosted-service-for-call-recordings-housekeeping</t>
        </is>
      </c>
      <c r="H2928" t="inlineStr">
        <is>
          <t>main</t>
        </is>
      </c>
      <c r="I2928" t="inlineStr">
        <is>
          <t>merged</t>
        </is>
      </c>
      <c r="J2928" t="inlineStr"/>
      <c r="K2928" t="inlineStr"/>
      <c r="L2928" t="inlineStr"/>
      <c r="M2928" t="inlineStr"/>
      <c r="N2928" t="inlineStr"/>
      <c r="O2928" t="inlineStr"/>
      <c r="P2928" t="inlineStr"/>
      <c r="Q2928" t="inlineStr"/>
    </row>
    <row r="2929">
      <c r="A2929" t="inlineStr">
        <is>
          <t>shreyansh.j</t>
        </is>
      </c>
      <c r="B2929" t="inlineStr">
        <is>
          <t>Shreyansh Jain</t>
        </is>
      </c>
      <c r="C2929" t="inlineStr">
        <is>
          <t>shreyansh.j@osmosys.co</t>
        </is>
      </c>
      <c r="D2929" t="inlineStr">
        <is>
          <t>talking-buddy</t>
        </is>
      </c>
      <c r="E2929">
        <f>HYPERLINK("http://gitlab.osmosys.co/talking-buddy/api", "api")</f>
        <v/>
      </c>
      <c r="F2929">
        <f>HYPERLINK("http://gitlab.osmosys.co/talking-buddy/api/-/merge_requests/267", "feat: add hosted service for sending payment profile completion notifications")</f>
        <v/>
      </c>
      <c r="G2929" t="inlineStr">
        <is>
          <t>feat/add-hosted-service-for-tb-payment-profile-sms</t>
        </is>
      </c>
      <c r="H2929" t="inlineStr">
        <is>
          <t>main</t>
        </is>
      </c>
      <c r="I2929" t="inlineStr">
        <is>
          <t>merged</t>
        </is>
      </c>
      <c r="J2929" t="inlineStr"/>
      <c r="K2929" t="inlineStr"/>
      <c r="L2929" t="inlineStr"/>
      <c r="M2929" t="inlineStr"/>
      <c r="N2929" t="inlineStr"/>
      <c r="O2929" t="inlineStr"/>
      <c r="P2929" t="inlineStr"/>
      <c r="Q2929" t="inlineStr"/>
    </row>
    <row r="2930">
      <c r="A2930" t="inlineStr">
        <is>
          <t>shreyansh.j</t>
        </is>
      </c>
      <c r="B2930" t="inlineStr">
        <is>
          <t>Shreyansh Jain</t>
        </is>
      </c>
      <c r="C2930" t="inlineStr">
        <is>
          <t>shreyansh.j@osmosys.co</t>
        </is>
      </c>
      <c r="D2930" t="inlineStr">
        <is>
          <t>talking-buddy</t>
        </is>
      </c>
      <c r="E2930">
        <f>HYPERLINK("http://gitlab.osmosys.co/talking-buddy/api", "api")</f>
        <v/>
      </c>
      <c r="F2930">
        <f>HYPERLINK("http://gitlab.osmosys.co/talking-buddy/api/-/merge_requests/266", "fix: update invoice pdf attachment logic and comment it temporarily")</f>
        <v/>
      </c>
      <c r="G2930" t="inlineStr">
        <is>
          <t>fix/update-invoice-attachment</t>
        </is>
      </c>
      <c r="H2930" t="inlineStr">
        <is>
          <t>main</t>
        </is>
      </c>
      <c r="I2930" t="inlineStr">
        <is>
          <t>merged</t>
        </is>
      </c>
      <c r="J2930" t="inlineStr"/>
      <c r="K2930" t="inlineStr"/>
      <c r="L2930" t="inlineStr"/>
      <c r="M2930" t="inlineStr"/>
      <c r="N2930" t="inlineStr"/>
      <c r="O2930" t="inlineStr"/>
      <c r="P2930" t="inlineStr"/>
      <c r="Q2930" t="inlineStr"/>
    </row>
    <row r="2931">
      <c r="A2931" t="inlineStr">
        <is>
          <t>shreyansh.j</t>
        </is>
      </c>
      <c r="B2931" t="inlineStr">
        <is>
          <t>Shreyansh Jain</t>
        </is>
      </c>
      <c r="C2931" t="inlineStr">
        <is>
          <t>shreyansh.j@osmosys.co</t>
        </is>
      </c>
      <c r="D2931" t="inlineStr">
        <is>
          <t>talking-buddy</t>
        </is>
      </c>
      <c r="E2931">
        <f>HYPERLINK("http://gitlab.osmosys.co/talking-buddy/api", "api")</f>
        <v/>
      </c>
      <c r="F2931">
        <f>HYPERLINK("http://gitlab.osmosys.co/talking-buddy/api/-/merge_requests/265", "Draft: feat: add otp validation for admin signin")</f>
        <v/>
      </c>
      <c r="G2931" t="inlineStr">
        <is>
          <t>feat/add-otp-validation-for-admin-signin</t>
        </is>
      </c>
      <c r="H2931" t="inlineStr">
        <is>
          <t>main</t>
        </is>
      </c>
      <c r="I2931" t="inlineStr">
        <is>
          <t>opened</t>
        </is>
      </c>
      <c r="J2931" t="inlineStr"/>
      <c r="K2931" t="inlineStr"/>
      <c r="L2931" t="inlineStr"/>
      <c r="M2931" t="inlineStr"/>
      <c r="N2931" t="inlineStr"/>
      <c r="O2931" t="inlineStr"/>
      <c r="P2931" t="inlineStr"/>
      <c r="Q2931" t="inlineStr"/>
    </row>
    <row r="2932">
      <c r="A2932" t="inlineStr">
        <is>
          <t>shreyansh.j</t>
        </is>
      </c>
      <c r="B2932" t="inlineStr">
        <is>
          <t>Shreyansh Jain</t>
        </is>
      </c>
      <c r="C2932" t="inlineStr">
        <is>
          <t>shreyansh.j@osmosys.co</t>
        </is>
      </c>
      <c r="D2932" t="inlineStr">
        <is>
          <t>talking-buddy</t>
        </is>
      </c>
      <c r="E2932">
        <f>HYPERLINK("http://gitlab.osmosys.co/talking-buddy/api", "api")</f>
        <v/>
      </c>
      <c r="F2932">
        <f>HYPERLINK("http://gitlab.osmosys.co/talking-buddy/api/-/merge_requests/264", "fix: cd service restart command")</f>
        <v/>
      </c>
      <c r="G2932" t="inlineStr">
        <is>
          <t>fix/cd-service-restart-command</t>
        </is>
      </c>
      <c r="H2932" t="inlineStr">
        <is>
          <t>main</t>
        </is>
      </c>
      <c r="I2932" t="inlineStr">
        <is>
          <t>merged</t>
        </is>
      </c>
      <c r="J2932" t="inlineStr"/>
      <c r="K2932" t="inlineStr"/>
      <c r="L2932" t="inlineStr"/>
      <c r="M2932" t="inlineStr"/>
      <c r="N2932" t="inlineStr"/>
      <c r="O2932" t="inlineStr"/>
      <c r="P2932" t="inlineStr"/>
      <c r="Q2932" t="inlineStr"/>
    </row>
    <row r="2933">
      <c r="A2933" t="inlineStr">
        <is>
          <t>shreyansh.j</t>
        </is>
      </c>
      <c r="B2933" t="inlineStr">
        <is>
          <t>Shreyansh Jain</t>
        </is>
      </c>
      <c r="C2933" t="inlineStr">
        <is>
          <t>shreyansh.j@osmosys.co</t>
        </is>
      </c>
      <c r="D2933" t="inlineStr">
        <is>
          <t>talking-buddy</t>
        </is>
      </c>
      <c r="E2933">
        <f>HYPERLINK("http://gitlab.osmosys.co/talking-buddy/api", "api")</f>
        <v/>
      </c>
      <c r="F2933">
        <f>HYPERLINK("http://gitlab.osmosys.co/talking-buddy/api/-/merge_requests/263", "fix: remove copying tools to publish files")</f>
        <v/>
      </c>
      <c r="G2933" t="inlineStr">
        <is>
          <t>fix/gitlab-pipeline-remove-tools</t>
        </is>
      </c>
      <c r="H2933" t="inlineStr">
        <is>
          <t>main</t>
        </is>
      </c>
      <c r="I2933" t="inlineStr">
        <is>
          <t>merged</t>
        </is>
      </c>
      <c r="J2933" t="inlineStr"/>
      <c r="K2933" t="inlineStr"/>
      <c r="L2933" t="inlineStr"/>
      <c r="M2933" t="inlineStr"/>
      <c r="N2933" t="inlineStr"/>
      <c r="O2933" t="inlineStr"/>
      <c r="P2933" t="inlineStr"/>
      <c r="Q2933" t="inlineStr"/>
    </row>
    <row r="2934">
      <c r="A2934" t="inlineStr">
        <is>
          <t>shreyansh.j</t>
        </is>
      </c>
      <c r="B2934" t="inlineStr">
        <is>
          <t>Shreyansh Jain</t>
        </is>
      </c>
      <c r="C2934" t="inlineStr">
        <is>
          <t>shreyansh.j@osmosys.co</t>
        </is>
      </c>
      <c r="D2934" t="inlineStr">
        <is>
          <t>talking-buddy</t>
        </is>
      </c>
      <c r="E2934">
        <f>HYPERLINK("http://gitlab.osmosys.co/talking-buddy/api", "api")</f>
        <v/>
      </c>
      <c r="F2934">
        <f>HYPERLINK("http://gitlab.osmosys.co/talking-buddy/api/-/merge_requests/262", "fix: update gitlab pipeline to handle deployment for executable tools")</f>
        <v/>
      </c>
      <c r="G2934" t="inlineStr">
        <is>
          <t>fix/gitlab-pipeline-to-handle-tools-deployment</t>
        </is>
      </c>
      <c r="H2934" t="inlineStr">
        <is>
          <t>main</t>
        </is>
      </c>
      <c r="I2934" t="inlineStr">
        <is>
          <t>merged</t>
        </is>
      </c>
      <c r="J2934" t="inlineStr"/>
      <c r="K2934" t="inlineStr"/>
      <c r="L2934" t="inlineStr"/>
      <c r="M2934" t="inlineStr"/>
      <c r="N2934" t="inlineStr"/>
      <c r="O2934" t="inlineStr"/>
      <c r="P2934" t="inlineStr"/>
      <c r="Q2934" t="inlineStr"/>
    </row>
    <row r="2935">
      <c r="A2935" t="inlineStr">
        <is>
          <t>shreyansh.j</t>
        </is>
      </c>
      <c r="B2935" t="inlineStr">
        <is>
          <t>Shreyansh Jain</t>
        </is>
      </c>
      <c r="C2935" t="inlineStr">
        <is>
          <t>shreyansh.j@osmosys.co</t>
        </is>
      </c>
      <c r="D2935" t="inlineStr">
        <is>
          <t>talking-buddy</t>
        </is>
      </c>
      <c r="E2935">
        <f>HYPERLINK("http://gitlab.osmosys.co/talking-buddy/api", "api")</f>
        <v/>
      </c>
      <c r="F2935">
        <f>HYPERLINK("http://gitlab.osmosys.co/talking-buddy/api/-/merge_requests/261", "feat: generate invoice pdf on successful payment")</f>
        <v/>
      </c>
      <c r="G2935" t="inlineStr">
        <is>
          <t>feat/generate-invoice-pdf-on-successful-payment</t>
        </is>
      </c>
      <c r="H2935" t="inlineStr">
        <is>
          <t>main</t>
        </is>
      </c>
      <c r="I2935" t="inlineStr">
        <is>
          <t>merged</t>
        </is>
      </c>
      <c r="J2935" t="inlineStr"/>
      <c r="K2935" t="inlineStr"/>
      <c r="L2935" t="inlineStr"/>
      <c r="M2935" t="inlineStr"/>
      <c r="N2935" t="inlineStr"/>
      <c r="O2935" t="inlineStr"/>
      <c r="P2935" t="inlineStr"/>
      <c r="Q2935" t="inlineStr"/>
    </row>
    <row r="2936">
      <c r="A2936" t="inlineStr">
        <is>
          <t>shreyansh.j</t>
        </is>
      </c>
      <c r="B2936" t="inlineStr">
        <is>
          <t>Shreyansh Jain</t>
        </is>
      </c>
      <c r="C2936" t="inlineStr">
        <is>
          <t>shreyansh.j@osmosys.co</t>
        </is>
      </c>
      <c r="D2936" t="inlineStr">
        <is>
          <t>talking-buddy</t>
        </is>
      </c>
      <c r="E2936">
        <f>HYPERLINK("http://gitlab.osmosys.co/talking-buddy/api", "api")</f>
        <v/>
      </c>
      <c r="F2936">
        <f>HYPERLINK("http://gitlab.osmosys.co/talking-buddy/api/-/merge_requests/260", "feat: add generic disputes functionality")</f>
        <v/>
      </c>
      <c r="G2936" t="inlineStr">
        <is>
          <t>feat/add-generic-disputes-functionality</t>
        </is>
      </c>
      <c r="H2936" t="inlineStr">
        <is>
          <t>main</t>
        </is>
      </c>
      <c r="I2936" t="inlineStr">
        <is>
          <t>merged</t>
        </is>
      </c>
      <c r="J2936" t="inlineStr"/>
      <c r="K2936" t="inlineStr"/>
      <c r="L2936" t="inlineStr"/>
      <c r="M2936" t="inlineStr"/>
      <c r="N2936" t="inlineStr"/>
      <c r="O2936" t="inlineStr"/>
      <c r="P2936" t="inlineStr"/>
      <c r="Q2936" t="inlineStr"/>
    </row>
    <row r="2937">
      <c r="A2937" t="inlineStr">
        <is>
          <t>shreyansh.j</t>
        </is>
      </c>
      <c r="B2937" t="inlineStr">
        <is>
          <t>Shreyansh Jain</t>
        </is>
      </c>
      <c r="C2937" t="inlineStr">
        <is>
          <t>shreyansh.j@osmosys.co</t>
        </is>
      </c>
      <c r="D2937" t="inlineStr">
        <is>
          <t>talking-buddy</t>
        </is>
      </c>
      <c r="E2937">
        <f>HYPERLINK("http://gitlab.osmosys.co/talking-buddy/api", "api")</f>
        <v/>
      </c>
      <c r="F2937">
        <f>HYPERLINK("http://gitlab.osmosys.co/talking-buddy/api/-/merge_requests/259", "feat: handle deleted user reregistration")</f>
        <v/>
      </c>
      <c r="G2937" t="inlineStr">
        <is>
          <t>feat/handle-deleted-user-reregistration</t>
        </is>
      </c>
      <c r="H2937" t="inlineStr">
        <is>
          <t>main</t>
        </is>
      </c>
      <c r="I2937" t="inlineStr">
        <is>
          <t>merged</t>
        </is>
      </c>
      <c r="J2937" t="inlineStr"/>
      <c r="K2937" t="inlineStr"/>
      <c r="L2937" t="inlineStr"/>
      <c r="M2937" t="inlineStr"/>
      <c r="N2937" t="inlineStr"/>
      <c r="O2937" t="inlineStr"/>
      <c r="P2937" t="inlineStr"/>
      <c r="Q2937" t="inlineStr"/>
    </row>
    <row r="2938">
      <c r="A2938" t="inlineStr">
        <is>
          <t>shreyansh.j</t>
        </is>
      </c>
      <c r="B2938" t="inlineStr">
        <is>
          <t>Shreyansh Jain</t>
        </is>
      </c>
      <c r="C2938" t="inlineStr">
        <is>
          <t>shreyansh.j@osmosys.co</t>
        </is>
      </c>
      <c r="D2938" t="inlineStr">
        <is>
          <t>talking-buddy</t>
        </is>
      </c>
      <c r="E2938">
        <f>HYPERLINK("http://gitlab.osmosys.co/talking-buddy/api", "api")</f>
        <v/>
      </c>
      <c r="F2938">
        <f>HYPERLINK("http://gitlab.osmosys.co/talking-buddy/api/-/merge_requests/258", "fix: update FAQs database table name")</f>
        <v/>
      </c>
      <c r="G2938" t="inlineStr">
        <is>
          <t>fix/faq-table-name</t>
        </is>
      </c>
      <c r="H2938" t="inlineStr">
        <is>
          <t>main</t>
        </is>
      </c>
      <c r="I2938" t="inlineStr">
        <is>
          <t>merged</t>
        </is>
      </c>
      <c r="J2938" t="inlineStr"/>
      <c r="K2938" t="inlineStr"/>
      <c r="L2938" t="inlineStr"/>
      <c r="M2938" t="inlineStr"/>
      <c r="N2938" t="inlineStr"/>
      <c r="O2938" t="inlineStr"/>
      <c r="P2938" t="inlineStr"/>
      <c r="Q2938" t="inlineStr"/>
    </row>
    <row r="2939">
      <c r="A2939" t="inlineStr">
        <is>
          <t>shreyansh.j</t>
        </is>
      </c>
      <c r="B2939" t="inlineStr">
        <is>
          <t>Shreyansh Jain</t>
        </is>
      </c>
      <c r="C2939" t="inlineStr">
        <is>
          <t>shreyansh.j@osmosys.co</t>
        </is>
      </c>
      <c r="D2939" t="inlineStr">
        <is>
          <t>talking-buddy</t>
        </is>
      </c>
      <c r="E2939">
        <f>HYPERLINK("http://gitlab.osmosys.co/talking-buddy/api", "api")</f>
        <v/>
      </c>
      <c r="F2939">
        <f>HYPERLINK("http://gitlab.osmosys.co/talking-buddy/api/-/merge_requests/257", "feat: add API to GET FAQs")</f>
        <v/>
      </c>
      <c r="G2939" t="inlineStr">
        <is>
          <t>feat/add-faqs</t>
        </is>
      </c>
      <c r="H2939" t="inlineStr">
        <is>
          <t>main</t>
        </is>
      </c>
      <c r="I2939" t="inlineStr">
        <is>
          <t>merged</t>
        </is>
      </c>
      <c r="J2939" t="inlineStr"/>
      <c r="K2939" t="inlineStr"/>
      <c r="L2939" t="inlineStr"/>
      <c r="M2939" t="inlineStr"/>
      <c r="N2939" t="inlineStr"/>
      <c r="O2939" t="inlineStr"/>
      <c r="P2939" t="inlineStr"/>
      <c r="Q2939" t="inlineStr"/>
    </row>
    <row r="2940">
      <c r="A2940" t="inlineStr">
        <is>
          <t>shreyansh.j</t>
        </is>
      </c>
      <c r="B2940" t="inlineStr">
        <is>
          <t>Shreyansh Jain</t>
        </is>
      </c>
      <c r="C2940" t="inlineStr">
        <is>
          <t>shreyansh.j@osmosys.co</t>
        </is>
      </c>
      <c r="D2940" t="inlineStr">
        <is>
          <t>talking-buddy</t>
        </is>
      </c>
      <c r="E2940">
        <f>HYPERLINK("http://gitlab.osmosys.co/talking-buddy/api", "api")</f>
        <v/>
      </c>
      <c r="F2940">
        <f>HYPERLINK("http://gitlab.osmosys.co/talking-buddy/api/-/merge_requests/256", "feat: add payment profile filter to users list API")</f>
        <v/>
      </c>
      <c r="G2940" t="inlineStr">
        <is>
          <t>feat/add-payment-profile-filter-to-user-list</t>
        </is>
      </c>
      <c r="H2940" t="inlineStr">
        <is>
          <t>main</t>
        </is>
      </c>
      <c r="I2940" t="inlineStr">
        <is>
          <t>merged</t>
        </is>
      </c>
      <c r="J2940" t="inlineStr"/>
      <c r="K2940" t="inlineStr"/>
      <c r="L2940" t="inlineStr"/>
      <c r="M2940" t="inlineStr"/>
      <c r="N2940" t="inlineStr"/>
      <c r="O2940" t="inlineStr"/>
      <c r="P2940" t="inlineStr"/>
      <c r="Q2940" t="inlineStr"/>
    </row>
    <row r="2941">
      <c r="A2941" t="inlineStr">
        <is>
          <t>shreyansh.j</t>
        </is>
      </c>
      <c r="B2941" t="inlineStr">
        <is>
          <t>Shreyansh Jain</t>
        </is>
      </c>
      <c r="C2941" t="inlineStr">
        <is>
          <t>shreyansh.j@osmosys.co</t>
        </is>
      </c>
      <c r="D2941" t="inlineStr">
        <is>
          <t>talking-buddy</t>
        </is>
      </c>
      <c r="E2941">
        <f>HYPERLINK("http://gitlab.osmosys.co/talking-buddy/api", "api")</f>
        <v/>
      </c>
      <c r="F2941">
        <f>HYPERLINK("http://gitlab.osmosys.co/talking-buddy/api/-/merge_requests/255", "feat: add availability status to users list API")</f>
        <v/>
      </c>
      <c r="G2941" t="inlineStr">
        <is>
          <t>feat/add-availability-status-in-users-list</t>
        </is>
      </c>
      <c r="H2941" t="inlineStr">
        <is>
          <t>main</t>
        </is>
      </c>
      <c r="I2941" t="inlineStr">
        <is>
          <t>merged</t>
        </is>
      </c>
      <c r="J2941" t="inlineStr"/>
      <c r="K2941" t="inlineStr"/>
      <c r="L2941" t="inlineStr"/>
      <c r="M2941" t="inlineStr"/>
      <c r="N2941" t="inlineStr"/>
      <c r="O2941" t="inlineStr"/>
      <c r="P2941" t="inlineStr"/>
      <c r="Q2941" t="inlineStr"/>
    </row>
    <row r="2942">
      <c r="A2942" t="inlineStr">
        <is>
          <t>shreyansh.j</t>
        </is>
      </c>
      <c r="B2942" t="inlineStr">
        <is>
          <t>Shreyansh Jain</t>
        </is>
      </c>
      <c r="C2942" t="inlineStr">
        <is>
          <t>shreyansh.j@osmosys.co</t>
        </is>
      </c>
      <c r="D2942" t="inlineStr">
        <is>
          <t>talking-buddy</t>
        </is>
      </c>
      <c r="E2942">
        <f>HYPERLINK("http://gitlab.osmosys.co/talking-buddy/api", "api")</f>
        <v/>
      </c>
      <c r="F2942">
        <f>HYPERLINK("http://gitlab.osmosys.co/talking-buddy/api/-/merge_requests/254", "feat: add reviewer comments to dispute")</f>
        <v/>
      </c>
      <c r="G2942" t="inlineStr">
        <is>
          <t>feat/add-reviewer-comments-to-dispute</t>
        </is>
      </c>
      <c r="H2942" t="inlineStr">
        <is>
          <t>main</t>
        </is>
      </c>
      <c r="I2942" t="inlineStr">
        <is>
          <t>merged</t>
        </is>
      </c>
      <c r="J2942" t="inlineStr"/>
      <c r="K2942" t="inlineStr"/>
      <c r="L2942" t="inlineStr"/>
      <c r="M2942" t="inlineStr"/>
      <c r="N2942" t="inlineStr"/>
      <c r="O2942" t="inlineStr"/>
      <c r="P2942" t="inlineStr"/>
      <c r="Q2942" t="inlineStr"/>
    </row>
    <row r="2943">
      <c r="A2943" t="inlineStr">
        <is>
          <t>shreyansh.j</t>
        </is>
      </c>
      <c r="B2943" t="inlineStr">
        <is>
          <t>Shreyansh Jain</t>
        </is>
      </c>
      <c r="C2943" t="inlineStr">
        <is>
          <t>shreyansh.j@osmosys.co</t>
        </is>
      </c>
      <c r="D2943" t="inlineStr">
        <is>
          <t>osmosys-research-and-development</t>
        </is>
      </c>
      <c r="E2943">
        <f>HYPERLINK("http://gitlab.osmosys.co/osmosys-research-and-development/osmosense", "OsmoSense")</f>
        <v/>
      </c>
      <c r="F2943">
        <f>HYPERLINK("http://gitlab.osmosys.co/osmosys-research-and-development/osmosense/-/merge_requests/50", "feat: add API to get excluded device list")</f>
        <v/>
      </c>
      <c r="G2943" t="inlineStr">
        <is>
          <t>feat/add-get-excluded-device-api</t>
        </is>
      </c>
      <c r="H2943" t="inlineStr">
        <is>
          <t>main</t>
        </is>
      </c>
      <c r="I2943" t="inlineStr">
        <is>
          <t>merged</t>
        </is>
      </c>
      <c r="J2943" t="inlineStr"/>
      <c r="K2943" t="inlineStr"/>
      <c r="L2943" t="inlineStr"/>
      <c r="M2943" t="inlineStr"/>
      <c r="N2943" t="inlineStr"/>
      <c r="O2943" t="inlineStr"/>
      <c r="P2943" t="inlineStr"/>
      <c r="Q2943" t="inlineStr"/>
    </row>
    <row r="2944">
      <c r="A2944" t="inlineStr">
        <is>
          <t>shreyansh.j</t>
        </is>
      </c>
      <c r="B2944" t="inlineStr">
        <is>
          <t>Shreyansh Jain</t>
        </is>
      </c>
      <c r="C2944" t="inlineStr">
        <is>
          <t>shreyansh.j@osmosys.co</t>
        </is>
      </c>
      <c r="D2944" t="inlineStr">
        <is>
          <t>osmosys-research-and-development</t>
        </is>
      </c>
      <c r="E2944">
        <f>HYPERLINK("http://gitlab.osmosys.co/osmosys-research-and-development/osmosense", "OsmoSense")</f>
        <v/>
      </c>
      <c r="F2944">
        <f>HYPERLINK("http://gitlab.osmosys.co/osmosys-research-and-development/osmosense/-/merge_requests/49", "chore: add config values to env file")</f>
        <v/>
      </c>
      <c r="G2944" t="inlineStr">
        <is>
          <t>chore/add-config-values-to-env-file</t>
        </is>
      </c>
      <c r="H2944" t="inlineStr">
        <is>
          <t>main</t>
        </is>
      </c>
      <c r="I2944" t="inlineStr">
        <is>
          <t>merged</t>
        </is>
      </c>
      <c r="J2944" t="inlineStr"/>
      <c r="K2944" t="inlineStr"/>
      <c r="L2944" t="inlineStr"/>
      <c r="M2944" t="inlineStr"/>
      <c r="N2944" t="inlineStr"/>
      <c r="O2944" t="inlineStr"/>
      <c r="P2944" t="inlineStr"/>
      <c r="Q2944" t="inlineStr"/>
    </row>
    <row r="2945">
      <c r="A2945" t="inlineStr">
        <is>
          <t>shreyansh.j</t>
        </is>
      </c>
      <c r="B2945" t="inlineStr">
        <is>
          <t>Shreyansh Jain</t>
        </is>
      </c>
      <c r="C2945" t="inlineStr">
        <is>
          <t>shreyansh.j@osmosys.co</t>
        </is>
      </c>
      <c r="D2945" t="inlineStr">
        <is>
          <t>osmosys-research-and-development</t>
        </is>
      </c>
      <c r="E2945">
        <f>HYPERLINK("http://gitlab.osmosys.co/osmosys-research-and-development/osmosense", "OsmoSense")</f>
        <v/>
      </c>
      <c r="F2945">
        <f>HYPERLINK("http://gitlab.osmosys.co/osmosys-research-and-development/osmosense/-/merge_requests/48", "chore: disable IOT board device type")</f>
        <v/>
      </c>
      <c r="G2945" t="inlineStr">
        <is>
          <t>chore/disable-mqtt-device-type</t>
        </is>
      </c>
      <c r="H2945" t="inlineStr">
        <is>
          <t>main</t>
        </is>
      </c>
      <c r="I2945" t="inlineStr">
        <is>
          <t>merged</t>
        </is>
      </c>
      <c r="J2945" t="inlineStr"/>
      <c r="K2945" t="inlineStr"/>
      <c r="L2945" t="inlineStr"/>
      <c r="M2945" t="inlineStr"/>
      <c r="N2945" t="inlineStr"/>
      <c r="O2945" t="inlineStr"/>
      <c r="P2945" t="inlineStr"/>
      <c r="Q2945" t="inlineStr"/>
    </row>
    <row r="2946">
      <c r="A2946" t="inlineStr">
        <is>
          <t>shreyansh.j</t>
        </is>
      </c>
      <c r="B2946" t="inlineStr">
        <is>
          <t>Shreyansh Jain</t>
        </is>
      </c>
      <c r="C2946" t="inlineStr">
        <is>
          <t>shreyansh.j@osmosys.co</t>
        </is>
      </c>
      <c r="D2946" t="inlineStr">
        <is>
          <t>osmosys-research-and-development</t>
        </is>
      </c>
      <c r="E2946">
        <f>HYPERLINK("http://gitlab.osmosys.co/osmosys-research-and-development/osmosense", "OsmoSense")</f>
        <v/>
      </c>
      <c r="F2946">
        <f>HYPERLINK("http://gitlab.osmosys.co/osmosys-research-and-development/osmosense/-/merge_requests/47", "fix: resolve merge conflict issues")</f>
        <v/>
      </c>
      <c r="G2946" t="inlineStr">
        <is>
          <t>fix/resolve-merge-conflict-issues</t>
        </is>
      </c>
      <c r="H2946" t="inlineStr">
        <is>
          <t>main</t>
        </is>
      </c>
      <c r="I2946" t="inlineStr">
        <is>
          <t>merged</t>
        </is>
      </c>
      <c r="J2946" t="inlineStr"/>
      <c r="K2946" t="inlineStr"/>
      <c r="L2946" t="inlineStr"/>
      <c r="M2946" t="inlineStr"/>
      <c r="N2946" t="inlineStr"/>
      <c r="O2946" t="inlineStr"/>
      <c r="P2946" t="inlineStr"/>
      <c r="Q2946" t="inlineStr"/>
    </row>
    <row r="2947">
      <c r="A2947" t="inlineStr">
        <is>
          <t>shreyansh.j</t>
        </is>
      </c>
      <c r="B2947" t="inlineStr">
        <is>
          <t>Shreyansh Jain</t>
        </is>
      </c>
      <c r="C2947" t="inlineStr">
        <is>
          <t>shreyansh.j@osmosys.co</t>
        </is>
      </c>
      <c r="D2947" t="inlineStr">
        <is>
          <t>osmosys-research-and-development</t>
        </is>
      </c>
      <c r="E2947">
        <f>HYPERLINK("http://gitlab.osmosys.co/osmosys-research-and-development/osmosense", "OsmoSense")</f>
        <v/>
      </c>
      <c r="F2947">
        <f>HYPERLINK("http://gitlab.osmosys.co/osmosys-research-and-development/osmosense/-/merge_requests/46", "feat: add API to GET webhooks by product")</f>
        <v/>
      </c>
      <c r="G2947" t="inlineStr">
        <is>
          <t>feat/add-get-webhooks-api</t>
        </is>
      </c>
      <c r="H2947" t="inlineStr">
        <is>
          <t>main</t>
        </is>
      </c>
      <c r="I2947" t="inlineStr">
        <is>
          <t>merged</t>
        </is>
      </c>
      <c r="J2947" t="inlineStr"/>
      <c r="K2947" t="inlineStr"/>
      <c r="L2947" t="inlineStr"/>
      <c r="M2947" t="inlineStr"/>
      <c r="N2947" t="inlineStr"/>
      <c r="O2947" t="inlineStr"/>
      <c r="P2947" t="inlineStr"/>
      <c r="Q2947" t="inlineStr"/>
    </row>
    <row r="2948">
      <c r="A2948" t="inlineStr">
        <is>
          <t>shreyansh.j</t>
        </is>
      </c>
      <c r="B2948" t="inlineStr">
        <is>
          <t>Shreyansh Jain</t>
        </is>
      </c>
      <c r="C2948" t="inlineStr">
        <is>
          <t>shreyansh.j@osmosys.co</t>
        </is>
      </c>
      <c r="D2948" t="inlineStr">
        <is>
          <t>osmosys-research-and-development</t>
        </is>
      </c>
      <c r="E2948">
        <f>HYPERLINK("http://gitlab.osmosys.co/osmosys-research-and-development/osmosense", "OsmoSense")</f>
        <v/>
      </c>
      <c r="F2948">
        <f>HYPERLINK("http://gitlab.osmosys.co/osmosys-research-and-development/osmosense/-/merge_requests/45", "feat: add write based action APIs")</f>
        <v/>
      </c>
      <c r="G2948" t="inlineStr">
        <is>
          <t>feat/add-write-based-action-apis</t>
        </is>
      </c>
      <c r="H2948" t="inlineStr">
        <is>
          <t>main</t>
        </is>
      </c>
      <c r="I2948" t="inlineStr">
        <is>
          <t>merged</t>
        </is>
      </c>
      <c r="J2948" t="inlineStr"/>
      <c r="K2948" t="inlineStr"/>
      <c r="L2948" t="inlineStr"/>
      <c r="M2948" t="inlineStr"/>
      <c r="N2948" t="inlineStr"/>
      <c r="O2948" t="inlineStr"/>
      <c r="P2948" t="inlineStr"/>
      <c r="Q2948" t="inlineStr"/>
    </row>
    <row r="2949">
      <c r="A2949" t="inlineStr">
        <is>
          <t>shreyansh.j</t>
        </is>
      </c>
      <c r="B2949" t="inlineStr">
        <is>
          <t>Shreyansh Jain</t>
        </is>
      </c>
      <c r="C2949" t="inlineStr">
        <is>
          <t>shreyansh.j@osmosys.co</t>
        </is>
      </c>
      <c r="D2949" t="inlineStr">
        <is>
          <t>osmosys-research-and-development</t>
        </is>
      </c>
      <c r="E2949">
        <f>HYPERLINK("http://gitlab.osmosys.co/osmosys-research-and-development/osmosense", "OsmoSense")</f>
        <v/>
      </c>
      <c r="F2949">
        <f>HYPERLINK("http://gitlab.osmosys.co/osmosys-research-and-development/osmosense/-/merge_requests/44", "feat: add read based action APIs")</f>
        <v/>
      </c>
      <c r="G2949" t="inlineStr">
        <is>
          <t>feat/add-get-action-apis</t>
        </is>
      </c>
      <c r="H2949" t="inlineStr">
        <is>
          <t>main</t>
        </is>
      </c>
      <c r="I2949" t="inlineStr">
        <is>
          <t>merged</t>
        </is>
      </c>
      <c r="J2949" t="inlineStr"/>
      <c r="K2949" t="inlineStr"/>
      <c r="L2949" t="inlineStr"/>
      <c r="M2949" t="inlineStr"/>
      <c r="N2949" t="inlineStr"/>
      <c r="O2949" t="inlineStr"/>
      <c r="P2949" t="inlineStr"/>
      <c r="Q2949" t="inlineStr"/>
    </row>
    <row r="2950">
      <c r="A2950" t="inlineStr">
        <is>
          <t>shreyansh.j</t>
        </is>
      </c>
      <c r="B2950" t="inlineStr">
        <is>
          <t>Shreyansh Jain</t>
        </is>
      </c>
      <c r="C2950" t="inlineStr">
        <is>
          <t>shreyansh.j@osmosys.co</t>
        </is>
      </c>
      <c r="D2950" t="inlineStr">
        <is>
          <t>osmosys-research-and-development</t>
        </is>
      </c>
      <c r="E2950">
        <f>HYPERLINK("http://gitlab.osmosys.co/osmosys-research-and-development/osmosense", "OsmoSense")</f>
        <v/>
      </c>
      <c r="F2950">
        <f>HYPERLINK("http://gitlab.osmosys.co/osmosys-research-and-development/osmosense/-/merge_requests/43", "feat: handle MQTT configuration and device certificates in write based credential APIs")</f>
        <v/>
      </c>
      <c r="G2950" t="inlineStr">
        <is>
          <t>feat/add-mqtt-config-to-credentials</t>
        </is>
      </c>
      <c r="H2950" t="inlineStr">
        <is>
          <t>main</t>
        </is>
      </c>
      <c r="I2950" t="inlineStr">
        <is>
          <t>merged</t>
        </is>
      </c>
      <c r="J2950" t="inlineStr"/>
      <c r="K2950" t="inlineStr"/>
      <c r="L2950" t="inlineStr"/>
      <c r="M2950" t="inlineStr"/>
      <c r="N2950" t="inlineStr"/>
      <c r="O2950" t="inlineStr"/>
      <c r="P2950" t="inlineStr"/>
      <c r="Q2950" t="inlineStr"/>
    </row>
    <row r="2951">
      <c r="A2951" t="inlineStr">
        <is>
          <t>shreyansh.j</t>
        </is>
      </c>
      <c r="B2951" t="inlineStr">
        <is>
          <t>Shreyansh Jain</t>
        </is>
      </c>
      <c r="C2951" t="inlineStr">
        <is>
          <t>shreyansh.j@osmosys.co</t>
        </is>
      </c>
      <c r="D2951" t="inlineStr">
        <is>
          <t>osmosys-research-and-development</t>
        </is>
      </c>
      <c r="E2951">
        <f>HYPERLINK("http://gitlab.osmosys.co/osmosys-research-and-development/osmosense", "OsmoSense")</f>
        <v/>
      </c>
      <c r="F2951">
        <f>HYPERLINK("http://gitlab.osmosys.co/osmosys-research-and-development/osmosense/-/merge_requests/42", "feat: handle mqtt device connection on docker")</f>
        <v/>
      </c>
      <c r="G2951" t="inlineStr">
        <is>
          <t>feat/-handle-mqtt-device-connection-on-docker</t>
        </is>
      </c>
      <c r="H2951" t="inlineStr">
        <is>
          <t>main</t>
        </is>
      </c>
      <c r="I2951" t="inlineStr">
        <is>
          <t>merged</t>
        </is>
      </c>
      <c r="J2951" t="inlineStr"/>
      <c r="K2951" t="inlineStr"/>
      <c r="L2951" t="inlineStr"/>
      <c r="M2951" t="inlineStr"/>
      <c r="N2951" t="inlineStr"/>
      <c r="O2951" t="inlineStr"/>
      <c r="P2951" t="inlineStr"/>
      <c r="Q2951" t="inlineStr"/>
    </row>
    <row r="2952">
      <c r="A2952" t="inlineStr">
        <is>
          <t>shreyansh.j</t>
        </is>
      </c>
      <c r="B2952" t="inlineStr">
        <is>
          <t>Shreyansh Jain</t>
        </is>
      </c>
      <c r="C2952" t="inlineStr">
        <is>
          <t>shreyansh.j@osmosys.co</t>
        </is>
      </c>
      <c r="D2952" t="inlineStr">
        <is>
          <t>osmosys-research-and-development</t>
        </is>
      </c>
      <c r="E2952">
        <f>HYPERLINK("http://gitlab.osmosys.co/osmosys-research-and-development/osmosense", "OsmoSense")</f>
        <v/>
      </c>
      <c r="F2952">
        <f>HYPERLINK("http://gitlab.osmosys.co/osmosys-research-and-development/osmosense/-/merge_requests/41", "feat: handle multiple mqtt broker from receiver service")</f>
        <v/>
      </c>
      <c r="G2952" t="inlineStr">
        <is>
          <t>feat/handle-multiple-mqtt-broker-from-receiver-service</t>
        </is>
      </c>
      <c r="H2952" t="inlineStr">
        <is>
          <t>main</t>
        </is>
      </c>
      <c r="I2952" t="inlineStr">
        <is>
          <t>merged</t>
        </is>
      </c>
      <c r="J2952" t="inlineStr"/>
      <c r="K2952" t="inlineStr"/>
      <c r="L2952" t="inlineStr"/>
      <c r="M2952" t="inlineStr"/>
      <c r="N2952" t="inlineStr"/>
      <c r="O2952" t="inlineStr"/>
      <c r="P2952" t="inlineStr"/>
      <c r="Q2952" t="inlineStr"/>
    </row>
    <row r="2953">
      <c r="A2953" t="inlineStr">
        <is>
          <t>shreyansh.j</t>
        </is>
      </c>
      <c r="B2953" t="inlineStr">
        <is>
          <t>Shreyansh Jain</t>
        </is>
      </c>
      <c r="C2953" t="inlineStr">
        <is>
          <t>shreyansh.j@osmosys.co</t>
        </is>
      </c>
      <c r="D2953" t="inlineStr">
        <is>
          <t>osmosys-research-and-development</t>
        </is>
      </c>
      <c r="E2953">
        <f>HYPERLINK("http://gitlab.osmosys.co/osmosys-research-and-development/osmosense", "OsmoSense")</f>
        <v/>
      </c>
      <c r="F2953">
        <f>HYPERLINK("http://gitlab.osmosys.co/osmosys-research-and-development/osmosense/-/merge_requests/40", "feat: add device MQTT configuration support in POST credential API")</f>
        <v/>
      </c>
      <c r="G2953" t="inlineStr">
        <is>
          <t>feat/add-device-credential-certificates-support</t>
        </is>
      </c>
      <c r="H2953" t="inlineStr">
        <is>
          <t>main</t>
        </is>
      </c>
      <c r="I2953" t="inlineStr">
        <is>
          <t>merged</t>
        </is>
      </c>
      <c r="J2953" t="inlineStr"/>
      <c r="K2953" t="inlineStr"/>
      <c r="L2953" t="inlineStr"/>
      <c r="M2953" t="inlineStr"/>
      <c r="N2953" t="inlineStr"/>
      <c r="O2953" t="inlineStr"/>
      <c r="P2953" t="inlineStr"/>
      <c r="Q2953" t="inlineStr"/>
    </row>
    <row r="2954">
      <c r="A2954" t="inlineStr">
        <is>
          <t>gopika.s</t>
        </is>
      </c>
      <c r="B2954" t="inlineStr">
        <is>
          <t>Gopika Singh</t>
        </is>
      </c>
      <c r="C2954" t="inlineStr">
        <is>
          <t>gopika.s@osmosys.co</t>
        </is>
      </c>
      <c r="D2954" t="inlineStr">
        <is>
          <t>talking-buddy</t>
        </is>
      </c>
      <c r="E2954">
        <f>HYPERLINK("http://gitlab.osmosys.co/talking-buddy/app", "app")</f>
        <v/>
      </c>
      <c r="F2954">
        <f>HYPERLINK("http://gitlab.osmosys.co/talking-buddy/app/-/merge_requests/383", "feat: Implement callkit calls in foregroud, background and terminated states")</f>
        <v/>
      </c>
      <c r="G2954" t="inlineStr">
        <is>
          <t>feat/terminated-state-calls</t>
        </is>
      </c>
      <c r="H2954" t="inlineStr">
        <is>
          <t>dev</t>
        </is>
      </c>
      <c r="I2954" t="inlineStr">
        <is>
          <t>opened</t>
        </is>
      </c>
      <c r="J2954" t="inlineStr"/>
      <c r="K2954" t="inlineStr"/>
      <c r="L2954" t="inlineStr"/>
      <c r="M2954" t="inlineStr"/>
      <c r="N2954" t="inlineStr"/>
      <c r="O2954" t="inlineStr"/>
      <c r="P2954" t="inlineStr"/>
      <c r="Q2954" t="inlineStr"/>
    </row>
    <row r="2955">
      <c r="A2955" t="inlineStr">
        <is>
          <t>soumi.b</t>
        </is>
      </c>
      <c r="B2955" t="inlineStr">
        <is>
          <t>Soumi Basak</t>
        </is>
      </c>
      <c r="C2955" t="inlineStr">
        <is>
          <t>soumi.b@osmosys.co</t>
        </is>
      </c>
      <c r="D2955" t="inlineStr">
        <is>
          <t>tp</t>
        </is>
      </c>
      <c r="E2955">
        <f>HYPERLINK("http://gitlab.osmosys.co/tp/tp360", "TP360")</f>
        <v/>
      </c>
      <c r="F2955">
        <f>HYPERLINK("http://gitlab.osmosys.co/tp/tp360/-/merge_requests/3114", "18943: Add validation to display 'Dev' button only for TP support,Jaswanth and Tim")</f>
        <v/>
      </c>
      <c r="G2955" t="inlineStr">
        <is>
          <t>dev/dev-btn-support-worksheet</t>
        </is>
      </c>
      <c r="H2955" t="inlineStr">
        <is>
          <t>PreTest_Development</t>
        </is>
      </c>
      <c r="I2955" t="inlineStr">
        <is>
          <t>merged</t>
        </is>
      </c>
      <c r="J2955" t="inlineStr"/>
      <c r="K2955" t="inlineStr"/>
      <c r="L2955" t="inlineStr"/>
      <c r="M2955" t="inlineStr"/>
      <c r="N2955" t="inlineStr"/>
      <c r="O2955" t="inlineStr"/>
      <c r="P2955" t="inlineStr"/>
      <c r="Q2955" t="inlineStr"/>
    </row>
    <row r="2956">
      <c r="A2956" t="inlineStr">
        <is>
          <t>soumi.b</t>
        </is>
      </c>
      <c r="B2956" t="inlineStr">
        <is>
          <t>Soumi Basak</t>
        </is>
      </c>
      <c r="C2956" t="inlineStr">
        <is>
          <t>soumi.b@osmosys.co</t>
        </is>
      </c>
      <c r="D2956" t="inlineStr">
        <is>
          <t>tp</t>
        </is>
      </c>
      <c r="E2956">
        <f>HYPERLINK("http://gitlab.osmosys.co/tp/tp360", "TP360")</f>
        <v/>
      </c>
      <c r="F2956">
        <f>HYPERLINK("http://gitlab.osmosys.co/tp/tp360/-/merge_requests/3113", "18943: Add validation to display 'Dev' button only for TP support,Jaswanth and Tim")</f>
        <v/>
      </c>
      <c r="G2956" t="inlineStr">
        <is>
          <t>dev/dev-btn-support-ws</t>
        </is>
      </c>
      <c r="H2956" t="inlineStr">
        <is>
          <t>Staging_Development</t>
        </is>
      </c>
      <c r="I2956" t="inlineStr">
        <is>
          <t>merged</t>
        </is>
      </c>
      <c r="J2956" t="inlineStr"/>
      <c r="K2956" t="inlineStr"/>
      <c r="L2956" t="inlineStr"/>
      <c r="M2956" t="inlineStr"/>
      <c r="N2956" t="inlineStr"/>
      <c r="O2956" t="inlineStr"/>
      <c r="P2956" t="inlineStr"/>
      <c r="Q2956" t="inlineStr"/>
    </row>
    <row r="2957">
      <c r="A2957" t="inlineStr">
        <is>
          <t>soumi.b</t>
        </is>
      </c>
      <c r="B2957" t="inlineStr">
        <is>
          <t>Soumi Basak</t>
        </is>
      </c>
      <c r="C2957" t="inlineStr">
        <is>
          <t>soumi.b@osmosys.co</t>
        </is>
      </c>
      <c r="D2957" t="inlineStr">
        <is>
          <t>tp</t>
        </is>
      </c>
      <c r="E2957">
        <f>HYPERLINK("http://gitlab.osmosys.co/tp/tp360", "TP360")</f>
        <v/>
      </c>
      <c r="F2957">
        <f>HYPERLINK("http://gitlab.osmosys.co/tp/tp360/-/merge_requests/3112", "Issue: Fix issue of Dev fields not populating on Copy ticket")</f>
        <v/>
      </c>
      <c r="G2957" t="inlineStr">
        <is>
          <t>issue/support-ticket</t>
        </is>
      </c>
      <c r="H2957" t="inlineStr">
        <is>
          <t>PreTest_Development</t>
        </is>
      </c>
      <c r="I2957" t="inlineStr">
        <is>
          <t>merged</t>
        </is>
      </c>
      <c r="J2957" t="inlineStr"/>
      <c r="K2957" t="inlineStr"/>
      <c r="L2957" t="inlineStr"/>
      <c r="M2957" t="inlineStr"/>
      <c r="N2957" t="inlineStr"/>
      <c r="O2957" t="inlineStr"/>
      <c r="P2957" t="inlineStr"/>
      <c r="Q2957" t="inlineStr"/>
    </row>
    <row r="2958">
      <c r="A2958" t="inlineStr">
        <is>
          <t>soumi.b</t>
        </is>
      </c>
      <c r="B2958" t="inlineStr">
        <is>
          <t>Soumi Basak</t>
        </is>
      </c>
      <c r="C2958" t="inlineStr">
        <is>
          <t>soumi.b@osmosys.co</t>
        </is>
      </c>
      <c r="D2958" t="inlineStr">
        <is>
          <t>tp</t>
        </is>
      </c>
      <c r="E2958">
        <f>HYPERLINK("http://gitlab.osmosys.co/tp/tp360", "TP360")</f>
        <v/>
      </c>
      <c r="F2958">
        <f>HYPERLINK("http://gitlab.osmosys.co/tp/tp360/-/merge_requests/3111", "13803: Remove worksheet get api from search popup and make dummy response")</f>
        <v/>
      </c>
      <c r="G2958" t="inlineStr">
        <is>
          <t>cherry-pick-e164eaf0</t>
        </is>
      </c>
      <c r="H2958" t="inlineStr">
        <is>
          <t>Staging_Development</t>
        </is>
      </c>
      <c r="I2958" t="inlineStr">
        <is>
          <t>merged</t>
        </is>
      </c>
      <c r="J2958" t="inlineStr"/>
      <c r="K2958" t="inlineStr"/>
      <c r="L2958" t="inlineStr"/>
      <c r="M2958" t="inlineStr"/>
      <c r="N2958" t="inlineStr"/>
      <c r="O2958" t="inlineStr"/>
      <c r="P2958" t="inlineStr"/>
      <c r="Q2958" t="inlineStr"/>
    </row>
    <row r="2959">
      <c r="A2959" t="inlineStr">
        <is>
          <t>soumi.b</t>
        </is>
      </c>
      <c r="B2959" t="inlineStr">
        <is>
          <t>Soumi Basak</t>
        </is>
      </c>
      <c r="C2959" t="inlineStr">
        <is>
          <t>soumi.b@osmosys.co</t>
        </is>
      </c>
      <c r="D2959" t="inlineStr">
        <is>
          <t>tp</t>
        </is>
      </c>
      <c r="E2959">
        <f>HYPERLINK("http://gitlab.osmosys.co/tp/tp360", "TP360")</f>
        <v/>
      </c>
      <c r="F2959">
        <f>HYPERLINK("http://gitlab.osmosys.co/tp/tp360/-/merge_requests/3106", "18537: Implement global body sanitization to trim all string values")</f>
        <v/>
      </c>
      <c r="G2959" t="inlineStr">
        <is>
          <t>dev/payload-validation</t>
        </is>
      </c>
      <c r="H2959" t="inlineStr">
        <is>
          <t>PreTest_Development</t>
        </is>
      </c>
      <c r="I2959" t="inlineStr">
        <is>
          <t>opened</t>
        </is>
      </c>
      <c r="J2959" t="inlineStr"/>
      <c r="K2959" t="inlineStr"/>
      <c r="L2959" t="inlineStr"/>
      <c r="M2959" t="inlineStr"/>
      <c r="N2959" t="inlineStr"/>
      <c r="O2959" t="inlineStr"/>
      <c r="P2959" t="inlineStr"/>
      <c r="Q2959" t="inlineStr"/>
    </row>
    <row r="2960">
      <c r="A2960" t="inlineStr">
        <is>
          <t>soumi.b</t>
        </is>
      </c>
      <c r="B2960" t="inlineStr">
        <is>
          <t>Soumi Basak</t>
        </is>
      </c>
      <c r="C2960" t="inlineStr">
        <is>
          <t>soumi.b@osmosys.co</t>
        </is>
      </c>
      <c r="D2960" t="inlineStr">
        <is>
          <t>tp</t>
        </is>
      </c>
      <c r="E2960">
        <f>HYPERLINK("http://gitlab.osmosys.co/tp/tp360", "TP360")</f>
        <v/>
      </c>
      <c r="F2960">
        <f>HYPERLINK("http://gitlab.osmosys.co/tp/tp360/-/merge_requests/3105", "HotFix: Update the formatter in Search Popup")</f>
        <v/>
      </c>
      <c r="G2960" t="inlineStr">
        <is>
          <t>cherry-pick-370ccf19</t>
        </is>
      </c>
      <c r="H2960" t="inlineStr">
        <is>
          <t>Staging_Development</t>
        </is>
      </c>
      <c r="I2960" t="inlineStr">
        <is>
          <t>merged</t>
        </is>
      </c>
      <c r="J2960" t="inlineStr"/>
      <c r="K2960" t="inlineStr"/>
      <c r="L2960" t="inlineStr"/>
      <c r="M2960" t="inlineStr"/>
      <c r="N2960" t="inlineStr"/>
      <c r="O2960" t="inlineStr"/>
      <c r="P2960" t="inlineStr"/>
      <c r="Q2960" t="inlineStr"/>
    </row>
    <row r="2961">
      <c r="A2961" t="inlineStr">
        <is>
          <t>soumi.b</t>
        </is>
      </c>
      <c r="B2961" t="inlineStr">
        <is>
          <t>Soumi Basak</t>
        </is>
      </c>
      <c r="C2961" t="inlineStr">
        <is>
          <t>soumi.b@osmosys.co</t>
        </is>
      </c>
      <c r="D2961" t="inlineStr">
        <is>
          <t>tp</t>
        </is>
      </c>
      <c r="E2961">
        <f>HYPERLINK("http://gitlab.osmosys.co/tp/tp360", "TP360")</f>
        <v/>
      </c>
      <c r="F2961">
        <f>HYPERLINK("http://gitlab.osmosys.co/tp/tp360/-/merge_requests/3103", "Update .gitlab-ci.yml file for fixing pipeline")</f>
        <v/>
      </c>
      <c r="G2961" t="inlineStr">
        <is>
          <t>dev/fix-pipeline</t>
        </is>
      </c>
      <c r="H2961" t="inlineStr">
        <is>
          <t>PreTest_Development</t>
        </is>
      </c>
      <c r="I2961" t="inlineStr">
        <is>
          <t>closed</t>
        </is>
      </c>
      <c r="J2961" t="inlineStr"/>
      <c r="K2961" t="inlineStr"/>
      <c r="L2961" t="inlineStr"/>
      <c r="M2961" t="inlineStr"/>
      <c r="N2961" t="inlineStr"/>
      <c r="O2961" t="inlineStr"/>
      <c r="P2961" t="inlineStr"/>
      <c r="Q2961" t="inlineStr"/>
    </row>
    <row r="2962">
      <c r="A2962" t="inlineStr">
        <is>
          <t>soumi.b</t>
        </is>
      </c>
      <c r="B2962" t="inlineStr">
        <is>
          <t>Soumi Basak</t>
        </is>
      </c>
      <c r="C2962" t="inlineStr">
        <is>
          <t>soumi.b@osmosys.co</t>
        </is>
      </c>
      <c r="D2962" t="inlineStr">
        <is>
          <t>tp</t>
        </is>
      </c>
      <c r="E2962">
        <f>HYPERLINK("http://gitlab.osmosys.co/tp/tp360", "TP360")</f>
        <v/>
      </c>
      <c r="F2962">
        <f>HYPERLINK("http://gitlab.osmosys.co/tp/tp360/-/merge_requests/3102", "13803: Update negative value formatter in hotel payment processing worksheet")</f>
        <v/>
      </c>
      <c r="G2962" t="inlineStr">
        <is>
          <t>cherry-pick-8b95226e</t>
        </is>
      </c>
      <c r="H2962" t="inlineStr">
        <is>
          <t>Staging_Development</t>
        </is>
      </c>
      <c r="I2962" t="inlineStr">
        <is>
          <t>merged</t>
        </is>
      </c>
      <c r="J2962" t="inlineStr"/>
      <c r="K2962" t="inlineStr"/>
      <c r="L2962" t="inlineStr"/>
      <c r="M2962" t="inlineStr"/>
      <c r="N2962" t="inlineStr"/>
      <c r="O2962" t="inlineStr"/>
      <c r="P2962" t="inlineStr"/>
      <c r="Q2962" t="inlineStr"/>
    </row>
    <row r="2963">
      <c r="A2963" t="inlineStr">
        <is>
          <t>soumi.b</t>
        </is>
      </c>
      <c r="B2963" t="inlineStr">
        <is>
          <t>Soumi Basak</t>
        </is>
      </c>
      <c r="C2963" t="inlineStr">
        <is>
          <t>soumi.b@osmosys.co</t>
        </is>
      </c>
      <c r="D2963" t="inlineStr">
        <is>
          <t>tp</t>
        </is>
      </c>
      <c r="E2963">
        <f>HYPERLINK("http://gitlab.osmosys.co/tp/tp360", "TP360")</f>
        <v/>
      </c>
      <c r="F2963">
        <f>HYPERLINK("http://gitlab.osmosys.co/tp/tp360/-/merge_requests/3099", "18403: Add 'Stay monthly' and 'MIMO' dropdown field in Monthly Small report")</f>
        <v/>
      </c>
      <c r="G2963" t="inlineStr">
        <is>
          <t>cherry-pick-48ba9d40</t>
        </is>
      </c>
      <c r="H2963" t="inlineStr">
        <is>
          <t>Staging_Development</t>
        </is>
      </c>
      <c r="I2963" t="inlineStr">
        <is>
          <t>merged</t>
        </is>
      </c>
      <c r="J2963" t="inlineStr"/>
      <c r="K2963" t="inlineStr"/>
      <c r="L2963" t="inlineStr"/>
      <c r="M2963" t="inlineStr"/>
      <c r="N2963" t="inlineStr"/>
      <c r="O2963" t="inlineStr"/>
      <c r="P2963" t="inlineStr"/>
      <c r="Q2963" t="inlineStr"/>
    </row>
    <row r="2964">
      <c r="A2964" t="inlineStr">
        <is>
          <t>soumi.b</t>
        </is>
      </c>
      <c r="B2964" t="inlineStr">
        <is>
          <t>Soumi Basak</t>
        </is>
      </c>
      <c r="C2964" t="inlineStr">
        <is>
          <t>soumi.b@osmosys.co</t>
        </is>
      </c>
      <c r="D2964" t="inlineStr">
        <is>
          <t>tp</t>
        </is>
      </c>
      <c r="E2964">
        <f>HYPERLINK("http://gitlab.osmosys.co/tp/tp360", "TP360")</f>
        <v/>
      </c>
      <c r="F2964">
        <f>HYPERLINK("http://gitlab.osmosys.co/tp/tp360/-/merge_requests/3098", "18403: Add 'Stay monthly' and 'MIMO' dropdown field in Monthly Small report")</f>
        <v/>
      </c>
      <c r="G2964" t="inlineStr">
        <is>
          <t>dev/monthly-small-report</t>
        </is>
      </c>
      <c r="H2964" t="inlineStr">
        <is>
          <t>PreTest_Development</t>
        </is>
      </c>
      <c r="I2964" t="inlineStr">
        <is>
          <t>merged</t>
        </is>
      </c>
      <c r="J2964" t="inlineStr"/>
      <c r="K2964" t="inlineStr"/>
      <c r="L2964" t="inlineStr"/>
      <c r="M2964" t="inlineStr"/>
      <c r="N2964" t="inlineStr"/>
      <c r="O2964" t="inlineStr"/>
      <c r="P2964" t="inlineStr"/>
      <c r="Q2964" t="inlineStr"/>
    </row>
    <row r="2965">
      <c r="A2965" t="inlineStr">
        <is>
          <t>soumi.b</t>
        </is>
      </c>
      <c r="B2965" t="inlineStr">
        <is>
          <t>Soumi Basak</t>
        </is>
      </c>
      <c r="C2965" t="inlineStr">
        <is>
          <t>soumi.b@osmosys.co</t>
        </is>
      </c>
      <c r="D2965" t="inlineStr">
        <is>
          <t>tp</t>
        </is>
      </c>
      <c r="E2965">
        <f>HYPERLINK("http://gitlab.osmosys.co/tp/tp360", "TP360")</f>
        <v/>
      </c>
      <c r="F2965">
        <f>HYPERLINK("http://gitlab.osmosys.co/tp/tp360/-/merge_requests/3097", "18945 : Update column mapping in Hotel Payment Processing Worksheet")</f>
        <v/>
      </c>
      <c r="G2965" t="inlineStr">
        <is>
          <t>cherry-pick-0ff32d22</t>
        </is>
      </c>
      <c r="H2965" t="inlineStr">
        <is>
          <t>Staging_Development</t>
        </is>
      </c>
      <c r="I2965" t="inlineStr">
        <is>
          <t>merged</t>
        </is>
      </c>
      <c r="J2965" t="inlineStr"/>
      <c r="K2965" t="inlineStr"/>
      <c r="L2965" t="inlineStr"/>
      <c r="M2965" t="inlineStr"/>
      <c r="N2965" t="inlineStr"/>
      <c r="O2965" t="inlineStr"/>
      <c r="P2965" t="inlineStr"/>
      <c r="Q2965" t="inlineStr"/>
    </row>
    <row r="2966">
      <c r="A2966" t="inlineStr">
        <is>
          <t>soumi.b</t>
        </is>
      </c>
      <c r="B2966" t="inlineStr">
        <is>
          <t>Soumi Basak</t>
        </is>
      </c>
      <c r="C2966" t="inlineStr">
        <is>
          <t>soumi.b@osmosys.co</t>
        </is>
      </c>
      <c r="D2966" t="inlineStr">
        <is>
          <t>tp</t>
        </is>
      </c>
      <c r="E2966">
        <f>HYPERLINK("http://gitlab.osmosys.co/tp/tp360", "TP360")</f>
        <v/>
      </c>
      <c r="F2966">
        <f>HYPERLINK("http://gitlab.osmosys.co/tp/tp360/-/merge_requests/3094", "13803: Update class for table header in search popup")</f>
        <v/>
      </c>
      <c r="G2966" t="inlineStr">
        <is>
          <t>cherry-pick-8d482349</t>
        </is>
      </c>
      <c r="H2966" t="inlineStr">
        <is>
          <t>Staging_Development</t>
        </is>
      </c>
      <c r="I2966" t="inlineStr">
        <is>
          <t>merged</t>
        </is>
      </c>
      <c r="J2966" t="inlineStr"/>
      <c r="K2966" t="inlineStr"/>
      <c r="L2966" t="inlineStr"/>
      <c r="M2966" t="inlineStr"/>
      <c r="N2966" t="inlineStr"/>
      <c r="O2966" t="inlineStr"/>
      <c r="P2966" t="inlineStr"/>
      <c r="Q2966" t="inlineStr"/>
    </row>
    <row r="2967">
      <c r="A2967" t="inlineStr">
        <is>
          <t>soumi.b</t>
        </is>
      </c>
      <c r="B2967" t="inlineStr">
        <is>
          <t>Soumi Basak</t>
        </is>
      </c>
      <c r="C2967" t="inlineStr">
        <is>
          <t>soumi.b@osmosys.co</t>
        </is>
      </c>
      <c r="D2967" t="inlineStr">
        <is>
          <t>tp</t>
        </is>
      </c>
      <c r="E2967">
        <f>HYPERLINK("http://gitlab.osmosys.co/tp/tp360", "TP360")</f>
        <v/>
      </c>
      <c r="F2967">
        <f>HYPERLINK("http://gitlab.osmosys.co/tp/tp360/-/merge_requests/3091", "13803: Display the selected row in search popup in hotel payment processing worksheet")</f>
        <v/>
      </c>
      <c r="G2967" t="inlineStr">
        <is>
          <t>cherry-pick-93ffcb89</t>
        </is>
      </c>
      <c r="H2967" t="inlineStr">
        <is>
          <t>Staging_Development</t>
        </is>
      </c>
      <c r="I2967" t="inlineStr">
        <is>
          <t>merged</t>
        </is>
      </c>
      <c r="J2967" t="inlineStr"/>
      <c r="K2967" t="inlineStr"/>
      <c r="L2967" t="inlineStr"/>
      <c r="M2967" t="inlineStr"/>
      <c r="N2967" t="inlineStr"/>
      <c r="O2967" t="inlineStr"/>
      <c r="P2967" t="inlineStr"/>
      <c r="Q2967" t="inlineStr"/>
    </row>
    <row r="2968">
      <c r="A2968" t="inlineStr">
        <is>
          <t>soumi.b</t>
        </is>
      </c>
      <c r="B2968" t="inlineStr">
        <is>
          <t>Soumi Basak</t>
        </is>
      </c>
      <c r="C2968" t="inlineStr">
        <is>
          <t>soumi.b@osmosys.co</t>
        </is>
      </c>
      <c r="D2968" t="inlineStr">
        <is>
          <t>tp</t>
        </is>
      </c>
      <c r="E2968">
        <f>HYPERLINK("http://gitlab.osmosys.co/tp/tp360", "TP360")</f>
        <v/>
      </c>
      <c r="F2968">
        <f>HYPERLINK("http://gitlab.osmosys.co/tp/tp360/-/merge_requests/3090", "Dev: Update the frozen column number in check request worksheet")</f>
        <v/>
      </c>
      <c r="G2968" t="inlineStr">
        <is>
          <t>dev/check-request-ws</t>
        </is>
      </c>
      <c r="H2968" t="inlineStr">
        <is>
          <t>PreTest_Development</t>
        </is>
      </c>
      <c r="I2968" t="inlineStr">
        <is>
          <t>merged</t>
        </is>
      </c>
      <c r="J2968" t="inlineStr"/>
      <c r="K2968" t="inlineStr"/>
      <c r="L2968" t="inlineStr"/>
      <c r="M2968" t="inlineStr"/>
      <c r="N2968" t="inlineStr"/>
      <c r="O2968" t="inlineStr"/>
      <c r="P2968" t="inlineStr"/>
      <c r="Q2968" t="inlineStr"/>
    </row>
    <row r="2969">
      <c r="A2969" t="inlineStr">
        <is>
          <t>soumi.b</t>
        </is>
      </c>
      <c r="B2969" t="inlineStr">
        <is>
          <t>Soumi Basak</t>
        </is>
      </c>
      <c r="C2969" t="inlineStr">
        <is>
          <t>soumi.b@osmosys.co</t>
        </is>
      </c>
      <c r="D2969" t="inlineStr">
        <is>
          <t>tp</t>
        </is>
      </c>
      <c r="E2969">
        <f>HYPERLINK("http://gitlab.osmosys.co/tp/tp360", "TP360")</f>
        <v/>
      </c>
      <c r="F2969">
        <f>HYPERLINK("http://gitlab.osmosys.co/tp/tp360/-/merge_requests/3088", "Add Check ,ACH CC drop down column next to payment amount in Check request worksheet")</f>
        <v/>
      </c>
      <c r="G2969" t="inlineStr">
        <is>
          <t>cherry-pick-3eff00b6</t>
        </is>
      </c>
      <c r="H2969" t="inlineStr">
        <is>
          <t>Staging_Development</t>
        </is>
      </c>
      <c r="I2969" t="inlineStr">
        <is>
          <t>merged</t>
        </is>
      </c>
      <c r="J2969" t="inlineStr"/>
      <c r="K2969" t="inlineStr"/>
      <c r="L2969" t="inlineStr"/>
      <c r="M2969" t="inlineStr"/>
      <c r="N2969" t="inlineStr"/>
      <c r="O2969" t="inlineStr"/>
      <c r="P2969" t="inlineStr"/>
      <c r="Q2969" t="inlineStr"/>
    </row>
    <row r="2970">
      <c r="A2970" t="inlineStr">
        <is>
          <t>soumi.b</t>
        </is>
      </c>
      <c r="B2970" t="inlineStr">
        <is>
          <t>Soumi Basak</t>
        </is>
      </c>
      <c r="C2970" t="inlineStr">
        <is>
          <t>soumi.b@osmosys.co</t>
        </is>
      </c>
      <c r="D2970" t="inlineStr">
        <is>
          <t>tp</t>
        </is>
      </c>
      <c r="E2970">
        <f>HYPERLINK("http://gitlab.osmosys.co/tp/tp360", "TP360")</f>
        <v/>
      </c>
      <c r="F2970">
        <f>HYPERLINK("http://gitlab.osmosys.co/tp/tp360/-/merge_requests/3087", "Draft: Dev/hotel searchpop")</f>
        <v/>
      </c>
      <c r="G2970" t="inlineStr">
        <is>
          <t>dev/hotel-searchpop</t>
        </is>
      </c>
      <c r="H2970" t="inlineStr">
        <is>
          <t>Staging_Development</t>
        </is>
      </c>
      <c r="I2970" t="inlineStr">
        <is>
          <t>closed</t>
        </is>
      </c>
      <c r="J2970" t="inlineStr"/>
      <c r="K2970" t="inlineStr"/>
      <c r="L2970" t="inlineStr"/>
      <c r="M2970" t="inlineStr"/>
      <c r="N2970" t="inlineStr"/>
      <c r="O2970" t="inlineStr"/>
      <c r="P2970" t="inlineStr"/>
      <c r="Q2970" t="inlineStr"/>
    </row>
    <row r="2971">
      <c r="A2971" t="inlineStr">
        <is>
          <t>soumi.b</t>
        </is>
      </c>
      <c r="B2971" t="inlineStr">
        <is>
          <t>Soumi Basak</t>
        </is>
      </c>
      <c r="C2971" t="inlineStr">
        <is>
          <t>soumi.b@osmosys.co</t>
        </is>
      </c>
      <c r="D2971" t="inlineStr">
        <is>
          <t>tp</t>
        </is>
      </c>
      <c r="E2971">
        <f>HYPERLINK("http://gitlab.osmosys.co/tp/tp360", "TP360")</f>
        <v/>
      </c>
      <c r="F2971">
        <f>HYPERLINK("http://gitlab.osmosys.co/tp/tp360/-/merge_requests/3085", "Add Check ,ACH CC drop down column next to payment amount in Check request worksheet")</f>
        <v/>
      </c>
      <c r="G2971" t="inlineStr">
        <is>
          <t>dev/check-req-ws</t>
        </is>
      </c>
      <c r="H2971" t="inlineStr">
        <is>
          <t>PreTest_Development</t>
        </is>
      </c>
      <c r="I2971" t="inlineStr">
        <is>
          <t>merged</t>
        </is>
      </c>
      <c r="J2971" t="inlineStr"/>
      <c r="K2971" t="inlineStr"/>
      <c r="L2971" t="inlineStr"/>
      <c r="M2971" t="inlineStr"/>
      <c r="N2971" t="inlineStr"/>
      <c r="O2971" t="inlineStr"/>
      <c r="P2971" t="inlineStr"/>
      <c r="Q2971" t="inlineStr"/>
    </row>
    <row r="2972">
      <c r="A2972" t="inlineStr">
        <is>
          <t>soumi.b</t>
        </is>
      </c>
      <c r="B2972" t="inlineStr">
        <is>
          <t>Soumi Basak</t>
        </is>
      </c>
      <c r="C2972" t="inlineStr">
        <is>
          <t>soumi.b@osmosys.co</t>
        </is>
      </c>
      <c r="D2972" t="inlineStr">
        <is>
          <t>tp</t>
        </is>
      </c>
      <c r="E2972">
        <f>HYPERLINK("http://gitlab.osmosys.co/tp/tp360", "TP360")</f>
        <v/>
      </c>
      <c r="F2972">
        <f>HYPERLINK("http://gitlab.osmosys.co/tp/tp360/-/merge_requests/3084", "16350 : Add blank option in gsm dropdown in housing pending worksheet")</f>
        <v/>
      </c>
      <c r="G2972" t="inlineStr">
        <is>
          <t>cherry-pick-c634f621</t>
        </is>
      </c>
      <c r="H2972" t="inlineStr">
        <is>
          <t>Staging_Development</t>
        </is>
      </c>
      <c r="I2972" t="inlineStr">
        <is>
          <t>opened</t>
        </is>
      </c>
      <c r="J2972" t="inlineStr"/>
      <c r="K2972" t="inlineStr"/>
      <c r="L2972" t="inlineStr"/>
      <c r="M2972" t="inlineStr"/>
      <c r="N2972" t="inlineStr"/>
      <c r="O2972" t="inlineStr"/>
      <c r="P2972" t="inlineStr"/>
      <c r="Q2972" t="inlineStr"/>
    </row>
    <row r="2973">
      <c r="A2973" t="inlineStr">
        <is>
          <t>soumi.b</t>
        </is>
      </c>
      <c r="B2973" t="inlineStr">
        <is>
          <t>Soumi Basak</t>
        </is>
      </c>
      <c r="C2973" t="inlineStr">
        <is>
          <t>soumi.b@osmosys.co</t>
        </is>
      </c>
      <c r="D2973" t="inlineStr">
        <is>
          <t>tp</t>
        </is>
      </c>
      <c r="E2973">
        <f>HYPERLINK("http://gitlab.osmosys.co/tp/tp360", "TP360")</f>
        <v/>
      </c>
      <c r="F2973">
        <f>HYPERLINK("http://gitlab.osmosys.co/tp/tp360/-/merge_requests/3083", "Hot-Fix: Updated the button alignment for confirm reloshare popup")</f>
        <v/>
      </c>
      <c r="G2973" t="inlineStr">
        <is>
          <t>cherry-pick-f7e89b50</t>
        </is>
      </c>
      <c r="H2973" t="inlineStr">
        <is>
          <t>Staging_Development</t>
        </is>
      </c>
      <c r="I2973" t="inlineStr">
        <is>
          <t>merged</t>
        </is>
      </c>
      <c r="J2973" t="inlineStr"/>
      <c r="K2973" t="inlineStr"/>
      <c r="L2973" t="inlineStr"/>
      <c r="M2973" t="inlineStr"/>
      <c r="N2973" t="inlineStr"/>
      <c r="O2973" t="inlineStr"/>
      <c r="P2973" t="inlineStr"/>
      <c r="Q2973" t="inlineStr"/>
    </row>
    <row r="2974">
      <c r="A2974" t="inlineStr">
        <is>
          <t>soumi.b</t>
        </is>
      </c>
      <c r="B2974" t="inlineStr">
        <is>
          <t>Soumi Basak</t>
        </is>
      </c>
      <c r="C2974" t="inlineStr">
        <is>
          <t>soumi.b@osmosys.co</t>
        </is>
      </c>
      <c r="D2974" t="inlineStr">
        <is>
          <t>tp</t>
        </is>
      </c>
      <c r="E2974">
        <f>HYPERLINK("http://gitlab.osmosys.co/tp/tp360", "TP360")</f>
        <v/>
      </c>
      <c r="F2974">
        <f>HYPERLINK("http://gitlab.osmosys.co/tp/tp360/-/merge_requests/3082", "Issue: Fix issue of Fax field not working in guest details popup")</f>
        <v/>
      </c>
      <c r="G2974" t="inlineStr">
        <is>
          <t>cherry-pick-17171bf8</t>
        </is>
      </c>
      <c r="H2974" t="inlineStr">
        <is>
          <t>Staging_Development</t>
        </is>
      </c>
      <c r="I2974" t="inlineStr">
        <is>
          <t>merged</t>
        </is>
      </c>
      <c r="J2974" t="inlineStr"/>
      <c r="K2974" t="inlineStr"/>
      <c r="L2974" t="inlineStr"/>
      <c r="M2974" t="inlineStr"/>
      <c r="N2974" t="inlineStr"/>
      <c r="O2974" t="inlineStr"/>
      <c r="P2974" t="inlineStr"/>
      <c r="Q2974" t="inlineStr"/>
    </row>
    <row r="2975">
      <c r="A2975" t="inlineStr">
        <is>
          <t>soumi.b</t>
        </is>
      </c>
      <c r="B2975" t="inlineStr">
        <is>
          <t>Soumi Basak</t>
        </is>
      </c>
      <c r="C2975" t="inlineStr">
        <is>
          <t>soumi.b@osmosys.co</t>
        </is>
      </c>
      <c r="D2975" t="inlineStr">
        <is>
          <t>tp</t>
        </is>
      </c>
      <c r="E2975">
        <f>HYPERLINK("http://gitlab.osmosys.co/tp/tp360", "TP360")</f>
        <v/>
      </c>
      <c r="F2975">
        <f>HYPERLINK("http://gitlab.osmosys.co/tp/tp360/-/merge_requests/3081", "Issue: Fix issue of Fax field not working in guest details popup")</f>
        <v/>
      </c>
      <c r="G2975" t="inlineStr">
        <is>
          <t>issue/guest-details-popup</t>
        </is>
      </c>
      <c r="H2975" t="inlineStr">
        <is>
          <t>PreTest_Development</t>
        </is>
      </c>
      <c r="I2975" t="inlineStr">
        <is>
          <t>merged</t>
        </is>
      </c>
      <c r="J2975" t="inlineStr"/>
      <c r="K2975" t="inlineStr"/>
      <c r="L2975" t="inlineStr"/>
      <c r="M2975" t="inlineStr"/>
      <c r="N2975" t="inlineStr"/>
      <c r="O2975" t="inlineStr"/>
      <c r="P2975" t="inlineStr"/>
      <c r="Q2975" t="inlineStr"/>
    </row>
    <row r="2976">
      <c r="A2976" t="inlineStr">
        <is>
          <t>soumi.b</t>
        </is>
      </c>
      <c r="B2976" t="inlineStr">
        <is>
          <t>Soumi Basak</t>
        </is>
      </c>
      <c r="C2976" t="inlineStr">
        <is>
          <t>soumi.b@osmosys.co</t>
        </is>
      </c>
      <c r="D2976" t="inlineStr">
        <is>
          <t>tp</t>
        </is>
      </c>
      <c r="E2976">
        <f>HYPERLINK("http://gitlab.osmosys.co/tp/tp360", "TP360")</f>
        <v/>
      </c>
      <c r="F2976">
        <f>HYPERLINK("http://gitlab.osmosys.co/tp/tp360/-/merge_requests/3078", "Issue: Fix alignments in core logic popup")</f>
        <v/>
      </c>
      <c r="G2976" t="inlineStr">
        <is>
          <t>issue/corelogic-alignments</t>
        </is>
      </c>
      <c r="H2976" t="inlineStr">
        <is>
          <t>Staging_Development</t>
        </is>
      </c>
      <c r="I2976" t="inlineStr">
        <is>
          <t>opened</t>
        </is>
      </c>
      <c r="J2976" t="inlineStr"/>
      <c r="K2976" t="inlineStr"/>
      <c r="L2976" t="inlineStr"/>
      <c r="M2976" t="inlineStr"/>
      <c r="N2976" t="inlineStr"/>
      <c r="O2976" t="inlineStr"/>
      <c r="P2976" t="inlineStr"/>
      <c r="Q2976" t="inlineStr"/>
    </row>
    <row r="2977">
      <c r="A2977" t="inlineStr">
        <is>
          <t>soumi.b</t>
        </is>
      </c>
      <c r="B2977" t="inlineStr">
        <is>
          <t>Soumi Basak</t>
        </is>
      </c>
      <c r="C2977" t="inlineStr">
        <is>
          <t>soumi.b@osmosys.co</t>
        </is>
      </c>
      <c r="D2977" t="inlineStr">
        <is>
          <t>tp</t>
        </is>
      </c>
      <c r="E2977">
        <f>HYPERLINK("http://gitlab.osmosys.co/tp/tp360", "TP360")</f>
        <v/>
      </c>
      <c r="F2977">
        <f>HYPERLINK("http://gitlab.osmosys.co/tp/tp360/-/merge_requests/3075", "13803: Implement new changes related to hotel payment processing search popup")</f>
        <v/>
      </c>
      <c r="G2977" t="inlineStr">
        <is>
          <t>cherry-pick-4c1659e7</t>
        </is>
      </c>
      <c r="H2977" t="inlineStr">
        <is>
          <t>Staging_Development</t>
        </is>
      </c>
      <c r="I2977" t="inlineStr">
        <is>
          <t>merged</t>
        </is>
      </c>
      <c r="J2977" t="inlineStr"/>
      <c r="K2977" t="inlineStr"/>
      <c r="L2977" t="inlineStr"/>
      <c r="M2977" t="inlineStr"/>
      <c r="N2977" t="inlineStr"/>
      <c r="O2977" t="inlineStr"/>
      <c r="P2977" t="inlineStr"/>
      <c r="Q2977" t="inlineStr"/>
    </row>
    <row r="2978">
      <c r="A2978" t="inlineStr">
        <is>
          <t>soumi.b</t>
        </is>
      </c>
      <c r="B2978" t="inlineStr">
        <is>
          <t>Soumi Basak</t>
        </is>
      </c>
      <c r="C2978" t="inlineStr">
        <is>
          <t>soumi.b@osmosys.co</t>
        </is>
      </c>
      <c r="D2978" t="inlineStr">
        <is>
          <t>tp</t>
        </is>
      </c>
      <c r="E2978">
        <f>HYPERLINK("http://gitlab.osmosys.co/tp/tp360", "TP360")</f>
        <v/>
      </c>
      <c r="F2978">
        <f>HYPERLINK("http://gitlab.osmosys.co/tp/tp360/-/merge_requests/3074", "16348 : Add mi columns in alt worksheet")</f>
        <v/>
      </c>
      <c r="G2978" t="inlineStr">
        <is>
          <t>cherry-pick-f1ae1611</t>
        </is>
      </c>
      <c r="H2978" t="inlineStr">
        <is>
          <t>Staging_Development</t>
        </is>
      </c>
      <c r="I2978" t="inlineStr">
        <is>
          <t>opened</t>
        </is>
      </c>
      <c r="J2978" t="inlineStr"/>
      <c r="K2978" t="inlineStr"/>
      <c r="L2978" t="inlineStr"/>
      <c r="M2978" t="inlineStr"/>
      <c r="N2978" t="inlineStr"/>
      <c r="O2978" t="inlineStr"/>
      <c r="P2978" t="inlineStr"/>
      <c r="Q2978" t="inlineStr"/>
    </row>
    <row r="2979">
      <c r="A2979" t="inlineStr">
        <is>
          <t>soumi.b</t>
        </is>
      </c>
      <c r="B2979" t="inlineStr">
        <is>
          <t>Soumi Basak</t>
        </is>
      </c>
      <c r="C2979" t="inlineStr">
        <is>
          <t>soumi.b@osmosys.co</t>
        </is>
      </c>
      <c r="D2979" t="inlineStr">
        <is>
          <t>tp</t>
        </is>
      </c>
      <c r="E2979">
        <f>HYPERLINK("http://gitlab.osmosys.co/tp/tp360", "TP360")</f>
        <v/>
      </c>
      <c r="F2979">
        <f>HYPERLINK("http://gitlab.osmosys.co/tp/tp360/-/merge_requests/3073", "17106: Add Unit# field in placement block in Data entry side")</f>
        <v/>
      </c>
      <c r="G2979" t="inlineStr">
        <is>
          <t>cherry-pick-dab44b2e</t>
        </is>
      </c>
      <c r="H2979" t="inlineStr">
        <is>
          <t>Staging_Development</t>
        </is>
      </c>
      <c r="I2979" t="inlineStr">
        <is>
          <t>opened</t>
        </is>
      </c>
      <c r="J2979" t="inlineStr"/>
      <c r="K2979" t="inlineStr"/>
      <c r="L2979" t="inlineStr"/>
      <c r="M2979" t="inlineStr"/>
      <c r="N2979" t="inlineStr"/>
      <c r="O2979" t="inlineStr"/>
      <c r="P2979" t="inlineStr"/>
      <c r="Q2979" t="inlineStr"/>
    </row>
    <row r="2980">
      <c r="A2980" t="inlineStr">
        <is>
          <t>soumi.b</t>
        </is>
      </c>
      <c r="B2980" t="inlineStr">
        <is>
          <t>Soumi Basak</t>
        </is>
      </c>
      <c r="C2980" t="inlineStr">
        <is>
          <t>soumi.b@osmosys.co</t>
        </is>
      </c>
      <c r="D2980" t="inlineStr">
        <is>
          <t>tp</t>
        </is>
      </c>
      <c r="E2980">
        <f>HYPERLINK("http://gitlab.osmosys.co/tp/tp360", "TP360")</f>
        <v/>
      </c>
      <c r="F2980">
        <f>HYPERLINK("http://gitlab.osmosys.co/tp/tp360/-/merge_requests/3072", "16063 : Restrict unknown vendor for reserving")</f>
        <v/>
      </c>
      <c r="G2980" t="inlineStr">
        <is>
          <t>cherry-pick-d9dca8b3</t>
        </is>
      </c>
      <c r="H2980" t="inlineStr">
        <is>
          <t>Staging_Development</t>
        </is>
      </c>
      <c r="I2980" t="inlineStr">
        <is>
          <t>opened</t>
        </is>
      </c>
      <c r="J2980" t="inlineStr"/>
      <c r="K2980" t="inlineStr"/>
      <c r="L2980" t="inlineStr"/>
      <c r="M2980" t="inlineStr"/>
      <c r="N2980" t="inlineStr"/>
      <c r="O2980" t="inlineStr"/>
      <c r="P2980" t="inlineStr"/>
      <c r="Q2980" t="inlineStr"/>
    </row>
    <row r="2981">
      <c r="A2981" t="inlineStr">
        <is>
          <t>soumi.b</t>
        </is>
      </c>
      <c r="B2981" t="inlineStr">
        <is>
          <t>Soumi Basak</t>
        </is>
      </c>
      <c r="C2981" t="inlineStr">
        <is>
          <t>soumi.b@osmosys.co</t>
        </is>
      </c>
      <c r="D2981" t="inlineStr">
        <is>
          <t>tp</t>
        </is>
      </c>
      <c r="E2981">
        <f>HYPERLINK("http://gitlab.osmosys.co/tp/tp360", "TP360")</f>
        <v/>
      </c>
      <c r="F2981">
        <f>HYPERLINK("http://gitlab.osmosys.co/tp/tp360/-/merge_requests/3071", "Issue: Fix blank page coming when session expires")</f>
        <v/>
      </c>
      <c r="G2981" t="inlineStr">
        <is>
          <t>cherry-pick-4aeb5d71</t>
        </is>
      </c>
      <c r="H2981" t="inlineStr">
        <is>
          <t>Staging_Development</t>
        </is>
      </c>
      <c r="I2981" t="inlineStr">
        <is>
          <t>merged</t>
        </is>
      </c>
      <c r="J2981" t="inlineStr"/>
      <c r="K2981" t="inlineStr"/>
      <c r="L2981" t="inlineStr"/>
      <c r="M2981" t="inlineStr"/>
      <c r="N2981" t="inlineStr"/>
      <c r="O2981" t="inlineStr"/>
      <c r="P2981" t="inlineStr"/>
      <c r="Q2981" t="inlineStr"/>
    </row>
    <row r="2982">
      <c r="A2982" t="inlineStr">
        <is>
          <t>soumi.b</t>
        </is>
      </c>
      <c r="B2982" t="inlineStr">
        <is>
          <t>Soumi Basak</t>
        </is>
      </c>
      <c r="C2982" t="inlineStr">
        <is>
          <t>soumi.b@osmosys.co</t>
        </is>
      </c>
      <c r="D2982" t="inlineStr">
        <is>
          <t>tp</t>
        </is>
      </c>
      <c r="E2982">
        <f>HYPERLINK("http://gitlab.osmosys.co/tp/tp360", "TP360")</f>
        <v/>
      </c>
      <c r="F2982">
        <f>HYPERLINK("http://gitlab.osmosys.co/tp/tp360/-/merge_requests/3070", "Dev: Replaced GetReferral with GetReferralView API while switching stays in Referral side")</f>
        <v/>
      </c>
      <c r="G2982" t="inlineStr">
        <is>
          <t>cherry-pick-62a2d3d7</t>
        </is>
      </c>
      <c r="H2982" t="inlineStr">
        <is>
          <t>Staging_Development</t>
        </is>
      </c>
      <c r="I2982" t="inlineStr">
        <is>
          <t>opened</t>
        </is>
      </c>
      <c r="J2982" t="inlineStr"/>
      <c r="K2982" t="inlineStr"/>
      <c r="L2982" t="inlineStr"/>
      <c r="M2982" t="inlineStr"/>
      <c r="N2982" t="inlineStr"/>
      <c r="O2982" t="inlineStr"/>
      <c r="P2982" t="inlineStr"/>
      <c r="Q2982" t="inlineStr"/>
    </row>
    <row r="2983">
      <c r="A2983" t="inlineStr">
        <is>
          <t>soumi.b</t>
        </is>
      </c>
      <c r="B2983" t="inlineStr">
        <is>
          <t>Soumi Basak</t>
        </is>
      </c>
      <c r="C2983" t="inlineStr">
        <is>
          <t>soumi.b@osmosys.co</t>
        </is>
      </c>
      <c r="D2983" t="inlineStr">
        <is>
          <t>tp</t>
        </is>
      </c>
      <c r="E2983">
        <f>HYPERLINK("http://gitlab.osmosys.co/tp/tp360", "TP360")</f>
        <v/>
      </c>
      <c r="F2983">
        <f>HYPERLINK("http://gitlab.osmosys.co/tp/tp360/-/merge_requests/3069", "Hot-Fix: Disable column sort and search for some columns in hotel commission worksheet")</f>
        <v/>
      </c>
      <c r="G2983" t="inlineStr">
        <is>
          <t>cherry-pick-9ed63417</t>
        </is>
      </c>
      <c r="H2983" t="inlineStr">
        <is>
          <t>Staging_Development</t>
        </is>
      </c>
      <c r="I2983" t="inlineStr">
        <is>
          <t>merged</t>
        </is>
      </c>
      <c r="J2983" t="inlineStr"/>
      <c r="K2983" t="inlineStr"/>
      <c r="L2983" t="inlineStr"/>
      <c r="M2983" t="inlineStr"/>
      <c r="N2983" t="inlineStr"/>
      <c r="O2983" t="inlineStr"/>
      <c r="P2983" t="inlineStr"/>
      <c r="Q2983" t="inlineStr"/>
    </row>
    <row r="2984">
      <c r="A2984" t="inlineStr">
        <is>
          <t>soumi.b</t>
        </is>
      </c>
      <c r="B2984" t="inlineStr">
        <is>
          <t>Soumi Basak</t>
        </is>
      </c>
      <c r="C2984" t="inlineStr">
        <is>
          <t>soumi.b@osmosys.co</t>
        </is>
      </c>
      <c r="D2984" t="inlineStr">
        <is>
          <t>tp</t>
        </is>
      </c>
      <c r="E2984">
        <f>HYPERLINK("http://gitlab.osmosys.co/tp/tp360", "TP360")</f>
        <v/>
      </c>
      <c r="F2984">
        <f>HYPERLINK("http://gitlab.osmosys.co/tp/tp360/-/merge_requests/3068", "Issue: Fix sort arrows not visible on the grid while sorting in furniture worksheet")</f>
        <v/>
      </c>
      <c r="G2984" t="inlineStr">
        <is>
          <t>cherry-pick-106a22de</t>
        </is>
      </c>
      <c r="H2984" t="inlineStr">
        <is>
          <t>Staging_Development</t>
        </is>
      </c>
      <c r="I2984" t="inlineStr">
        <is>
          <t>opened</t>
        </is>
      </c>
      <c r="J2984" t="inlineStr"/>
      <c r="K2984" t="inlineStr"/>
      <c r="L2984" t="inlineStr"/>
      <c r="M2984" t="inlineStr"/>
      <c r="N2984" t="inlineStr"/>
      <c r="O2984" t="inlineStr"/>
      <c r="P2984" t="inlineStr"/>
      <c r="Q2984" t="inlineStr"/>
    </row>
    <row r="2985">
      <c r="A2985" t="inlineStr">
        <is>
          <t>soumi.b</t>
        </is>
      </c>
      <c r="B2985" t="inlineStr">
        <is>
          <t>Soumi Basak</t>
        </is>
      </c>
      <c r="C2985" t="inlineStr">
        <is>
          <t>soumi.b@osmosys.co</t>
        </is>
      </c>
      <c r="D2985" t="inlineStr">
        <is>
          <t>tp</t>
        </is>
      </c>
      <c r="E2985">
        <f>HYPERLINK("http://gitlab.osmosys.co/tp/tp360", "TP360")</f>
        <v/>
      </c>
      <c r="F2985">
        <f>HYPERLINK("http://gitlab.osmosys.co/tp/tp360/-/merge_requests/3067", "Issue: Fix incorrect originalEOA date populating on UI data-entry")</f>
        <v/>
      </c>
      <c r="G2985" t="inlineStr">
        <is>
          <t>cherry-pick-c4cbba36</t>
        </is>
      </c>
      <c r="H2985" t="inlineStr">
        <is>
          <t>Staging_Development</t>
        </is>
      </c>
      <c r="I2985" t="inlineStr">
        <is>
          <t>merged</t>
        </is>
      </c>
      <c r="J2985" t="inlineStr"/>
      <c r="K2985" t="inlineStr"/>
      <c r="L2985" t="inlineStr"/>
      <c r="M2985" t="inlineStr"/>
      <c r="N2985" t="inlineStr"/>
      <c r="O2985" t="inlineStr"/>
      <c r="P2985" t="inlineStr"/>
      <c r="Q2985" t="inlineStr"/>
    </row>
    <row r="2986">
      <c r="A2986" t="inlineStr">
        <is>
          <t>soumi.b</t>
        </is>
      </c>
      <c r="B2986" t="inlineStr">
        <is>
          <t>Soumi Basak</t>
        </is>
      </c>
      <c r="C2986" t="inlineStr">
        <is>
          <t>soumi.b@osmosys.co</t>
        </is>
      </c>
      <c r="D2986" t="inlineStr">
        <is>
          <t>tp</t>
        </is>
      </c>
      <c r="E2986">
        <f>HYPERLINK("http://gitlab.osmosys.co/tp/tp360", "TP360")</f>
        <v/>
      </c>
      <c r="F2986">
        <f>HYPERLINK("http://gitlab.osmosys.co/tp/tp360/-/merge_requests/3066", "18682: Fix issue of Mobile field not working in guest details popup")</f>
        <v/>
      </c>
      <c r="G2986" t="inlineStr">
        <is>
          <t>cherry-pick-ef3fa87c</t>
        </is>
      </c>
      <c r="H2986" t="inlineStr">
        <is>
          <t>Staging_Development</t>
        </is>
      </c>
      <c r="I2986" t="inlineStr">
        <is>
          <t>merged</t>
        </is>
      </c>
      <c r="J2986" t="inlineStr"/>
      <c r="K2986" t="inlineStr"/>
      <c r="L2986" t="inlineStr"/>
      <c r="M2986" t="inlineStr"/>
      <c r="N2986" t="inlineStr"/>
      <c r="O2986" t="inlineStr"/>
      <c r="P2986" t="inlineStr"/>
      <c r="Q2986" t="inlineStr"/>
    </row>
    <row r="2987">
      <c r="A2987" t="inlineStr">
        <is>
          <t>soumi.b</t>
        </is>
      </c>
      <c r="B2987" t="inlineStr">
        <is>
          <t>Soumi Basak</t>
        </is>
      </c>
      <c r="C2987" t="inlineStr">
        <is>
          <t>soumi.b@osmosys.co</t>
        </is>
      </c>
      <c r="D2987" t="inlineStr">
        <is>
          <t>tp</t>
        </is>
      </c>
      <c r="E2987">
        <f>HYPERLINK("http://gitlab.osmosys.co/tp/tp360", "TP360")</f>
        <v/>
      </c>
      <c r="F2987">
        <f>HYPERLINK("http://gitlab.osmosys.co/tp/tp360/-/merge_requests/3065", "18682: Fix issue of Mobile field not working in guest details popup")</f>
        <v/>
      </c>
      <c r="G2987" t="inlineStr">
        <is>
          <t>issue/guest-popup-mobile</t>
        </is>
      </c>
      <c r="H2987" t="inlineStr">
        <is>
          <t>PreTest_Development</t>
        </is>
      </c>
      <c r="I2987" t="inlineStr">
        <is>
          <t>merged</t>
        </is>
      </c>
      <c r="J2987" t="inlineStr"/>
      <c r="K2987" t="inlineStr"/>
      <c r="L2987" t="inlineStr"/>
      <c r="M2987" t="inlineStr"/>
      <c r="N2987" t="inlineStr"/>
      <c r="O2987" t="inlineStr"/>
      <c r="P2987" t="inlineStr"/>
      <c r="Q2987" t="inlineStr"/>
    </row>
    <row r="2988">
      <c r="A2988" t="inlineStr">
        <is>
          <t>soumi.b</t>
        </is>
      </c>
      <c r="B2988" t="inlineStr">
        <is>
          <t>Soumi Basak</t>
        </is>
      </c>
      <c r="C2988" t="inlineStr">
        <is>
          <t>soumi.b@osmosys.co</t>
        </is>
      </c>
      <c r="D2988" t="inlineStr">
        <is>
          <t>tp</t>
        </is>
      </c>
      <c r="E2988">
        <f>HYPERLINK("http://gitlab.osmosys.co/tp/tp360", "TP360")</f>
        <v/>
      </c>
      <c r="F2988">
        <f>HYPERLINK("http://gitlab.osmosys.co/tp/tp360/-/merge_requests/3061", "Issue: Remove formatPhone from email id details block data-entry")</f>
        <v/>
      </c>
      <c r="G2988" t="inlineStr">
        <is>
          <t>cherry-pick-f6553e62</t>
        </is>
      </c>
      <c r="H2988" t="inlineStr">
        <is>
          <t>Staging_Development</t>
        </is>
      </c>
      <c r="I2988" t="inlineStr">
        <is>
          <t>merged</t>
        </is>
      </c>
      <c r="J2988" t="inlineStr"/>
      <c r="K2988" t="inlineStr"/>
      <c r="L2988" t="inlineStr"/>
      <c r="M2988" t="inlineStr"/>
      <c r="N2988" t="inlineStr"/>
      <c r="O2988" t="inlineStr"/>
      <c r="P2988" t="inlineStr"/>
      <c r="Q2988" t="inlineStr"/>
    </row>
    <row r="2989">
      <c r="A2989" t="inlineStr">
        <is>
          <t>soumi.b</t>
        </is>
      </c>
      <c r="B2989" t="inlineStr">
        <is>
          <t>Soumi Basak</t>
        </is>
      </c>
      <c r="C2989" t="inlineStr">
        <is>
          <t>soumi.b@osmosys.co</t>
        </is>
      </c>
      <c r="D2989" t="inlineStr">
        <is>
          <t>tp</t>
        </is>
      </c>
      <c r="E2989">
        <f>HYPERLINK("http://gitlab.osmosys.co/tp/tp360", "TP360")</f>
        <v/>
      </c>
      <c r="F2989">
        <f>HYPERLINK("http://gitlab.osmosys.co/tp/tp360/-/merge_requests/3058", "Modify the summary tickets to filter by 'Stage' instead of 'Status'")</f>
        <v/>
      </c>
      <c r="G2989" t="inlineStr">
        <is>
          <t>cherry-pick-a85f9be0</t>
        </is>
      </c>
      <c r="H2989" t="inlineStr">
        <is>
          <t>Staging_Development</t>
        </is>
      </c>
      <c r="I2989" t="inlineStr">
        <is>
          <t>merged</t>
        </is>
      </c>
      <c r="J2989" t="inlineStr"/>
      <c r="K2989" t="inlineStr"/>
      <c r="L2989" t="inlineStr"/>
      <c r="M2989" t="inlineStr"/>
      <c r="N2989" t="inlineStr"/>
      <c r="O2989" t="inlineStr"/>
      <c r="P2989" t="inlineStr"/>
      <c r="Q2989" t="inlineStr"/>
    </row>
    <row r="2990">
      <c r="A2990" t="inlineStr">
        <is>
          <t>soumi.b</t>
        </is>
      </c>
      <c r="B2990" t="inlineStr">
        <is>
          <t>Soumi Basak</t>
        </is>
      </c>
      <c r="C2990" t="inlineStr">
        <is>
          <t>soumi.b@osmosys.co</t>
        </is>
      </c>
      <c r="D2990" t="inlineStr">
        <is>
          <t>tp</t>
        </is>
      </c>
      <c r="E2990">
        <f>HYPERLINK("http://gitlab.osmosys.co/tp/tp360", "TP360")</f>
        <v/>
      </c>
      <c r="F2990">
        <f>HYPERLINK("http://gitlab.osmosys.co/tp/tp360/-/merge_requests/3057", "Move Staging_Development changes into Live_Bridge")</f>
        <v/>
      </c>
      <c r="G2990" t="inlineStr">
        <is>
          <t>Staging_Development</t>
        </is>
      </c>
      <c r="H2990" t="inlineStr">
        <is>
          <t>Live_Bridge</t>
        </is>
      </c>
      <c r="I2990" t="inlineStr">
        <is>
          <t>opened</t>
        </is>
      </c>
      <c r="J2990" t="inlineStr"/>
      <c r="K2990" t="inlineStr"/>
      <c r="L2990" t="inlineStr"/>
      <c r="M2990" t="inlineStr"/>
      <c r="N2990" t="inlineStr"/>
      <c r="O2990" t="inlineStr"/>
      <c r="P2990" t="inlineStr"/>
      <c r="Q2990" t="inlineStr"/>
    </row>
    <row r="2991">
      <c r="A2991" t="inlineStr">
        <is>
          <t>soumi.b</t>
        </is>
      </c>
      <c r="B2991" t="inlineStr">
        <is>
          <t>Soumi Basak</t>
        </is>
      </c>
      <c r="C2991" t="inlineStr">
        <is>
          <t>soumi.b@osmosys.co</t>
        </is>
      </c>
      <c r="D2991" t="inlineStr">
        <is>
          <t>tp</t>
        </is>
      </c>
      <c r="E2991">
        <f>HYPERLINK("http://gitlab.osmosys.co/tp/tp360", "TP360")</f>
        <v/>
      </c>
      <c r="F2991">
        <f>HYPERLINK("http://gitlab.osmosys.co/tp/tp360/-/merge_requests/3056", "17648: Add Peril Reason multiselect dropdown in CAT Claim Count Report")</f>
        <v/>
      </c>
      <c r="G2991" t="inlineStr">
        <is>
          <t>cherry-pick-de663be9</t>
        </is>
      </c>
      <c r="H2991" t="inlineStr">
        <is>
          <t>Staging_Development</t>
        </is>
      </c>
      <c r="I2991" t="inlineStr">
        <is>
          <t>merged</t>
        </is>
      </c>
      <c r="J2991" t="inlineStr"/>
      <c r="K2991" t="inlineStr"/>
      <c r="L2991" t="inlineStr"/>
      <c r="M2991" t="inlineStr"/>
      <c r="N2991" t="inlineStr"/>
      <c r="O2991" t="inlineStr"/>
      <c r="P2991" t="inlineStr"/>
      <c r="Q2991" t="inlineStr"/>
    </row>
    <row r="2992">
      <c r="A2992" t="inlineStr">
        <is>
          <t>soumi.b</t>
        </is>
      </c>
      <c r="B2992" t="inlineStr">
        <is>
          <t>Soumi Basak</t>
        </is>
      </c>
      <c r="C2992" t="inlineStr">
        <is>
          <t>soumi.b@osmosys.co</t>
        </is>
      </c>
      <c r="D2992" t="inlineStr">
        <is>
          <t>tp</t>
        </is>
      </c>
      <c r="E2992">
        <f>HYPERLINK("http://gitlab.osmosys.co/tp/tp360", "TP360")</f>
        <v/>
      </c>
      <c r="F2992">
        <f>HYPERLINK("http://gitlab.osmosys.co/tp/tp360/-/merge_requests/3051", "Issue: Fix console error while loading property management in guest side.")</f>
        <v/>
      </c>
      <c r="G2992" t="inlineStr">
        <is>
          <t>cherry-pick-5cf5302c</t>
        </is>
      </c>
      <c r="H2992" t="inlineStr">
        <is>
          <t>Staging_Development</t>
        </is>
      </c>
      <c r="I2992" t="inlineStr">
        <is>
          <t>merged</t>
        </is>
      </c>
      <c r="J2992" t="inlineStr"/>
      <c r="K2992" t="inlineStr"/>
      <c r="L2992" t="inlineStr"/>
      <c r="M2992" t="inlineStr"/>
      <c r="N2992" t="inlineStr"/>
      <c r="O2992" t="inlineStr"/>
      <c r="P2992" t="inlineStr"/>
      <c r="Q2992" t="inlineStr"/>
    </row>
    <row r="2993">
      <c r="A2993" t="inlineStr">
        <is>
          <t>soumi.b</t>
        </is>
      </c>
      <c r="B2993" t="inlineStr">
        <is>
          <t>Soumi Basak</t>
        </is>
      </c>
      <c r="C2993" t="inlineStr">
        <is>
          <t>soumi.b@osmosys.co</t>
        </is>
      </c>
      <c r="D2993" t="inlineStr">
        <is>
          <t>tp</t>
        </is>
      </c>
      <c r="E2993">
        <f>HYPERLINK("http://gitlab.osmosys.co/tp/tp360", "TP360")</f>
        <v/>
      </c>
      <c r="F2993">
        <f>HYPERLINK("http://gitlab.osmosys.co/tp/tp360/-/merge_requests/3049", "14723: Fix issue of Auto ext not unchecking if the popup is closed directly with selecting 'Ok' or 'Cancel'")</f>
        <v/>
      </c>
      <c r="G2993" t="inlineStr">
        <is>
          <t>cherry-pick-b9265c9b</t>
        </is>
      </c>
      <c r="H2993" t="inlineStr">
        <is>
          <t>Staging_Development</t>
        </is>
      </c>
      <c r="I2993" t="inlineStr">
        <is>
          <t>merged</t>
        </is>
      </c>
      <c r="J2993" t="inlineStr"/>
      <c r="K2993" t="inlineStr"/>
      <c r="L2993" t="inlineStr"/>
      <c r="M2993" t="inlineStr"/>
      <c r="N2993" t="inlineStr"/>
      <c r="O2993" t="inlineStr"/>
      <c r="P2993" t="inlineStr"/>
      <c r="Q2993" t="inlineStr"/>
    </row>
    <row r="2994">
      <c r="A2994" t="inlineStr">
        <is>
          <t>soumi.b</t>
        </is>
      </c>
      <c r="B2994" t="inlineStr">
        <is>
          <t>Soumi Basak</t>
        </is>
      </c>
      <c r="C2994" t="inlineStr">
        <is>
          <t>soumi.b@osmosys.co</t>
        </is>
      </c>
      <c r="D2994" t="inlineStr">
        <is>
          <t>tp</t>
        </is>
      </c>
      <c r="E2994">
        <f>HYPERLINK("http://gitlab.osmosys.co/tp/tp360", "TP360")</f>
        <v/>
      </c>
      <c r="F2994">
        <f>HYPERLINK("http://gitlab.osmosys.co/tp/tp360/-/merge_requests/3048", "14723: Fix issue of Auto ext not unchecking if the popup is closed directly with selecting 'Ok' or 'Cancel'")</f>
        <v/>
      </c>
      <c r="G2994" t="inlineStr">
        <is>
          <t>issue/auto-ext-popup-fix</t>
        </is>
      </c>
      <c r="H2994" t="inlineStr">
        <is>
          <t>PreTest_Development</t>
        </is>
      </c>
      <c r="I2994" t="inlineStr">
        <is>
          <t>merged</t>
        </is>
      </c>
      <c r="J2994" t="inlineStr"/>
      <c r="K2994" t="inlineStr"/>
      <c r="L2994" t="inlineStr"/>
      <c r="M2994" t="inlineStr"/>
      <c r="N2994" t="inlineStr"/>
      <c r="O2994" t="inlineStr"/>
      <c r="P2994" t="inlineStr"/>
      <c r="Q2994" t="inlineStr"/>
    </row>
    <row r="2995">
      <c r="A2995" t="inlineStr">
        <is>
          <t>soumi.b</t>
        </is>
      </c>
      <c r="B2995" t="inlineStr">
        <is>
          <t>Soumi Basak</t>
        </is>
      </c>
      <c r="C2995" t="inlineStr">
        <is>
          <t>soumi.b@osmosys.co</t>
        </is>
      </c>
      <c r="D2995" t="inlineStr">
        <is>
          <t>tp</t>
        </is>
      </c>
      <c r="E2995">
        <f>HYPERLINK("http://gitlab.osmosys.co/tp/tp360", "TP360")</f>
        <v/>
      </c>
      <c r="F2995">
        <f>HYPERLINK("http://gitlab.osmosys.co/tp/tp360/-/merge_requests/3047", "Dev: Replaced GetReferral with GetReferralView API while switching stays in Referral side")</f>
        <v/>
      </c>
      <c r="G2995" t="inlineStr">
        <is>
          <t>dev/optimize-search-page</t>
        </is>
      </c>
      <c r="H2995" t="inlineStr">
        <is>
          <t>PreTest_Development</t>
        </is>
      </c>
      <c r="I2995" t="inlineStr">
        <is>
          <t>merged</t>
        </is>
      </c>
      <c r="J2995" t="inlineStr"/>
      <c r="K2995" t="inlineStr"/>
      <c r="L2995" t="inlineStr"/>
      <c r="M2995" t="inlineStr"/>
      <c r="N2995" t="inlineStr"/>
      <c r="O2995" t="inlineStr"/>
      <c r="P2995" t="inlineStr"/>
      <c r="Q2995" t="inlineStr"/>
    </row>
    <row r="2996">
      <c r="A2996" t="inlineStr">
        <is>
          <t>soumi.b</t>
        </is>
      </c>
      <c r="B2996" t="inlineStr">
        <is>
          <t>Soumi Basak</t>
        </is>
      </c>
      <c r="C2996" t="inlineStr">
        <is>
          <t>soumi.b@osmosys.co</t>
        </is>
      </c>
      <c r="D2996" t="inlineStr">
        <is>
          <t>tp</t>
        </is>
      </c>
      <c r="E2996">
        <f>HYPERLINK("http://gitlab.osmosys.co/tp/tp360", "TP360")</f>
        <v/>
      </c>
      <c r="F2996">
        <f>HYPERLINK("http://gitlab.osmosys.co/tp/tp360/-/merge_requests/3042", "18421: Implement fix to ensure "Requested By" in Extension popup matches "Req By" in CC Worksheet for consistent display")</f>
        <v/>
      </c>
      <c r="G2996" t="inlineStr">
        <is>
          <t>cherry-pick-f3bd5129</t>
        </is>
      </c>
      <c r="H2996" t="inlineStr">
        <is>
          <t>Staging_Development</t>
        </is>
      </c>
      <c r="I2996" t="inlineStr">
        <is>
          <t>merged</t>
        </is>
      </c>
      <c r="J2996" t="inlineStr"/>
      <c r="K2996" t="inlineStr"/>
      <c r="L2996" t="inlineStr"/>
      <c r="M2996" t="inlineStr"/>
      <c r="N2996" t="inlineStr"/>
      <c r="O2996" t="inlineStr"/>
      <c r="P2996" t="inlineStr"/>
      <c r="Q2996" t="inlineStr"/>
    </row>
    <row r="2997">
      <c r="A2997" t="inlineStr">
        <is>
          <t>soumi.b</t>
        </is>
      </c>
      <c r="B2997" t="inlineStr">
        <is>
          <t>Soumi Basak</t>
        </is>
      </c>
      <c r="C2997" t="inlineStr">
        <is>
          <t>soumi.b@osmosys.co</t>
        </is>
      </c>
      <c r="D2997" t="inlineStr">
        <is>
          <t>tp</t>
        </is>
      </c>
      <c r="E2997">
        <f>HYPERLINK("http://gitlab.osmosys.co/tp/tp360", "TP360")</f>
        <v/>
      </c>
      <c r="F2997">
        <f>HYPERLINK("http://gitlab.osmosys.co/tp/tp360/-/merge_requests/3041", "Issue : Add sorting for service fee savings")</f>
        <v/>
      </c>
      <c r="G2997" t="inlineStr">
        <is>
          <t>cherry-pick-4e4b7d28</t>
        </is>
      </c>
      <c r="H2997" t="inlineStr">
        <is>
          <t>Staging_Development</t>
        </is>
      </c>
      <c r="I2997" t="inlineStr">
        <is>
          <t>merged</t>
        </is>
      </c>
      <c r="J2997" t="inlineStr"/>
      <c r="K2997" t="inlineStr"/>
      <c r="L2997" t="inlineStr"/>
      <c r="M2997" t="inlineStr"/>
      <c r="N2997" t="inlineStr"/>
      <c r="O2997" t="inlineStr"/>
      <c r="P2997" t="inlineStr"/>
      <c r="Q2997" t="inlineStr"/>
    </row>
    <row r="2998">
      <c r="A2998" t="inlineStr">
        <is>
          <t>soumi.b</t>
        </is>
      </c>
      <c r="B2998" t="inlineStr">
        <is>
          <t>Soumi Basak</t>
        </is>
      </c>
      <c r="C2998" t="inlineStr">
        <is>
          <t>soumi.b@osmosys.co</t>
        </is>
      </c>
      <c r="D2998" t="inlineStr">
        <is>
          <t>tp</t>
        </is>
      </c>
      <c r="E2998">
        <f>HYPERLINK("http://gitlab.osmosys.co/tp/tp360", "TP360")</f>
        <v/>
      </c>
      <c r="F2998">
        <f>HYPERLINK("http://gitlab.osmosys.co/tp/tp360/-/merge_requests/3039", "Implement fix for pipeline failure")</f>
        <v/>
      </c>
      <c r="G2998" t="inlineStr">
        <is>
          <t>dev/pipeline-update</t>
        </is>
      </c>
      <c r="H2998" t="inlineStr">
        <is>
          <t>PreTest_Development</t>
        </is>
      </c>
      <c r="I2998" t="inlineStr">
        <is>
          <t>merged</t>
        </is>
      </c>
      <c r="J2998" t="inlineStr"/>
      <c r="K2998" t="inlineStr"/>
      <c r="L2998" t="inlineStr"/>
      <c r="M2998" t="inlineStr"/>
      <c r="N2998" t="inlineStr"/>
      <c r="O2998" t="inlineStr"/>
      <c r="P2998" t="inlineStr"/>
      <c r="Q2998" t="inlineStr"/>
    </row>
    <row r="2999">
      <c r="A2999" t="inlineStr">
        <is>
          <t>soumi.b</t>
        </is>
      </c>
      <c r="B2999" t="inlineStr">
        <is>
          <t>Soumi Basak</t>
        </is>
      </c>
      <c r="C2999" t="inlineStr">
        <is>
          <t>soumi.b@osmosys.co</t>
        </is>
      </c>
      <c r="D2999" t="inlineStr">
        <is>
          <t>tp</t>
        </is>
      </c>
      <c r="E2999">
        <f>HYPERLINK("http://gitlab.osmosys.co/tp/tp360", "TP360")</f>
        <v/>
      </c>
      <c r="F2999">
        <f>HYPERLINK("http://gitlab.osmosys.co/tp/tp360/-/merge_requests/3038", "18421: Implement fix to ensure "Requested By" in Extension popup matches "Req By" in CC Worksheet for consistent display")</f>
        <v/>
      </c>
      <c r="G2999" t="inlineStr">
        <is>
          <t>dev/requested-by-ext-popup</t>
        </is>
      </c>
      <c r="H2999" t="inlineStr">
        <is>
          <t>PreTest_Development</t>
        </is>
      </c>
      <c r="I2999" t="inlineStr">
        <is>
          <t>merged</t>
        </is>
      </c>
      <c r="J2999" t="inlineStr"/>
      <c r="K2999" t="inlineStr"/>
      <c r="L2999" t="inlineStr"/>
      <c r="M2999" t="inlineStr"/>
      <c r="N2999" t="inlineStr"/>
      <c r="O2999" t="inlineStr"/>
      <c r="P2999" t="inlineStr"/>
      <c r="Q2999" t="inlineStr"/>
    </row>
    <row r="3000">
      <c r="A3000" t="inlineStr">
        <is>
          <t>soumi.b</t>
        </is>
      </c>
      <c r="B3000" t="inlineStr">
        <is>
          <t>Soumi Basak</t>
        </is>
      </c>
      <c r="C3000" t="inlineStr">
        <is>
          <t>soumi.b@osmosys.co</t>
        </is>
      </c>
      <c r="D3000" t="inlineStr">
        <is>
          <t>tp</t>
        </is>
      </c>
      <c r="E3000">
        <f>HYPERLINK("http://gitlab.osmosys.co/tp/tp360", "TP360")</f>
        <v/>
      </c>
      <c r="F3000">
        <f>HYPERLINK("http://gitlab.osmosys.co/tp/tp360/-/merge_requests/3036", "Issue: Update core logic payload")</f>
        <v/>
      </c>
      <c r="G3000" t="inlineStr">
        <is>
          <t>cherry-pick-97dde5e9</t>
        </is>
      </c>
      <c r="H3000" t="inlineStr">
        <is>
          <t>Staging_Development</t>
        </is>
      </c>
      <c r="I3000" t="inlineStr">
        <is>
          <t>merged</t>
        </is>
      </c>
      <c r="J3000" t="inlineStr"/>
      <c r="K3000" t="inlineStr"/>
      <c r="L3000" t="inlineStr"/>
      <c r="M3000" t="inlineStr"/>
      <c r="N3000" t="inlineStr"/>
      <c r="O3000" t="inlineStr"/>
      <c r="P3000" t="inlineStr"/>
      <c r="Q3000" t="inlineStr"/>
    </row>
    <row r="3001">
      <c r="A3001" t="inlineStr">
        <is>
          <t>soumi.b</t>
        </is>
      </c>
      <c r="B3001" t="inlineStr">
        <is>
          <t>Soumi Basak</t>
        </is>
      </c>
      <c r="C3001" t="inlineStr">
        <is>
          <t>soumi.b@osmosys.co</t>
        </is>
      </c>
      <c r="D3001" t="inlineStr">
        <is>
          <t>tp</t>
        </is>
      </c>
      <c r="E3001">
        <f>HYPERLINK("http://gitlab.osmosys.co/tp/tp360", "TP360")</f>
        <v/>
      </c>
      <c r="F3001">
        <f>HYPERLINK("http://gitlab.osmosys.co/tp/tp360/-/merge_requests/3035", "Issue: Update core logic payload")</f>
        <v/>
      </c>
      <c r="G3001" t="inlineStr">
        <is>
          <t>issue/core-logic-alignments</t>
        </is>
      </c>
      <c r="H3001" t="inlineStr">
        <is>
          <t>PreTest_Development</t>
        </is>
      </c>
      <c r="I3001" t="inlineStr">
        <is>
          <t>merged</t>
        </is>
      </c>
      <c r="J3001" t="inlineStr"/>
      <c r="K3001" t="inlineStr"/>
      <c r="L3001" t="inlineStr"/>
      <c r="M3001" t="inlineStr"/>
      <c r="N3001" t="inlineStr"/>
      <c r="O3001" t="inlineStr"/>
      <c r="P3001" t="inlineStr"/>
      <c r="Q3001" t="inlineStr"/>
    </row>
    <row r="3002">
      <c r="A3002" t="inlineStr">
        <is>
          <t>soumi.b</t>
        </is>
      </c>
      <c r="B3002" t="inlineStr">
        <is>
          <t>Soumi Basak</t>
        </is>
      </c>
      <c r="C3002" t="inlineStr">
        <is>
          <t>soumi.b@osmosys.co</t>
        </is>
      </c>
      <c r="D3002" t="inlineStr">
        <is>
          <t>tp</t>
        </is>
      </c>
      <c r="E3002">
        <f>HYPERLINK("http://gitlab.osmosys.co/tp/tp360", "TP360")</f>
        <v/>
      </c>
      <c r="F3002">
        <f>HYPERLINK("http://gitlab.osmosys.co/tp/tp360/-/merge_requests/3034", "Update phone number format")</f>
        <v/>
      </c>
      <c r="G3002" t="inlineStr">
        <is>
          <t>cherry-pick-b2df9098</t>
        </is>
      </c>
      <c r="H3002" t="inlineStr">
        <is>
          <t>Staging_Development</t>
        </is>
      </c>
      <c r="I3002" t="inlineStr">
        <is>
          <t>merged</t>
        </is>
      </c>
      <c r="J3002" t="inlineStr"/>
      <c r="K3002" t="inlineStr"/>
      <c r="L3002" t="inlineStr"/>
      <c r="M3002" t="inlineStr"/>
      <c r="N3002" t="inlineStr"/>
      <c r="O3002" t="inlineStr"/>
      <c r="P3002" t="inlineStr"/>
      <c r="Q3002" t="inlineStr"/>
    </row>
    <row r="3003">
      <c r="A3003" t="inlineStr">
        <is>
          <t>soumi.b</t>
        </is>
      </c>
      <c r="B3003" t="inlineStr">
        <is>
          <t>Soumi Basak</t>
        </is>
      </c>
      <c r="C3003" t="inlineStr">
        <is>
          <t>soumi.b@osmosys.co</t>
        </is>
      </c>
      <c r="D3003" t="inlineStr">
        <is>
          <t>tp</t>
        </is>
      </c>
      <c r="E3003">
        <f>HYPERLINK("http://gitlab.osmosys.co/tp/tp360", "TP360")</f>
        <v/>
      </c>
      <c r="F3003">
        <f>HYPERLINK("http://gitlab.osmosys.co/tp/tp360/-/merge_requests/3032", "Dev: Update Fax format in payload and form")</f>
        <v/>
      </c>
      <c r="G3003" t="inlineStr">
        <is>
          <t>cherry-pick-9dd28942</t>
        </is>
      </c>
      <c r="H3003" t="inlineStr">
        <is>
          <t>Staging_Development</t>
        </is>
      </c>
      <c r="I3003" t="inlineStr">
        <is>
          <t>merged</t>
        </is>
      </c>
      <c r="J3003" t="inlineStr"/>
      <c r="K3003" t="inlineStr"/>
      <c r="L3003" t="inlineStr"/>
      <c r="M3003" t="inlineStr"/>
      <c r="N3003" t="inlineStr"/>
      <c r="O3003" t="inlineStr"/>
      <c r="P3003" t="inlineStr"/>
      <c r="Q3003" t="inlineStr"/>
    </row>
    <row r="3004">
      <c r="A3004" t="inlineStr">
        <is>
          <t>soumi.b</t>
        </is>
      </c>
      <c r="B3004" t="inlineStr">
        <is>
          <t>Soumi Basak</t>
        </is>
      </c>
      <c r="C3004" t="inlineStr">
        <is>
          <t>soumi.b@osmosys.co</t>
        </is>
      </c>
      <c r="D3004" t="inlineStr">
        <is>
          <t>tp</t>
        </is>
      </c>
      <c r="E3004">
        <f>HYPERLINK("http://gitlab.osmosys.co/tp/tp360", "TP360")</f>
        <v/>
      </c>
      <c r="F3004">
        <f>HYPERLINK("http://gitlab.osmosys.co/tp/tp360/-/merge_requests/3030", "13914 : Add bl peril mandatory toast message in quick business lodging")</f>
        <v/>
      </c>
      <c r="G3004" t="inlineStr">
        <is>
          <t>cherry-pick-5184f8a7</t>
        </is>
      </c>
      <c r="H3004" t="inlineStr">
        <is>
          <t>Staging_Development</t>
        </is>
      </c>
      <c r="I3004" t="inlineStr">
        <is>
          <t>merged</t>
        </is>
      </c>
      <c r="J3004" t="inlineStr"/>
      <c r="K3004" t="inlineStr"/>
      <c r="L3004" t="inlineStr"/>
      <c r="M3004" t="inlineStr"/>
      <c r="N3004" t="inlineStr"/>
      <c r="O3004" t="inlineStr"/>
      <c r="P3004" t="inlineStr"/>
      <c r="Q3004" t="inlineStr"/>
    </row>
    <row r="3005">
      <c r="A3005" t="inlineStr">
        <is>
          <t>soumi.b</t>
        </is>
      </c>
      <c r="B3005" t="inlineStr">
        <is>
          <t>Soumi Basak</t>
        </is>
      </c>
      <c r="C3005" t="inlineStr">
        <is>
          <t>soumi.b@osmosys.co</t>
        </is>
      </c>
      <c r="D3005" t="inlineStr">
        <is>
          <t>tp</t>
        </is>
      </c>
      <c r="E3005">
        <f>HYPERLINK("http://gitlab.osmosys.co/tp/tp360", "TP360")</f>
        <v/>
      </c>
      <c r="F3005">
        <f>HYPERLINK("http://gitlab.osmosys.co/tp/tp360/-/merge_requests/3028", "Dev : Add service fee savings column in alt email extraction worksheet")</f>
        <v/>
      </c>
      <c r="G3005" t="inlineStr">
        <is>
          <t>cherry-pick-ff82f8e1</t>
        </is>
      </c>
      <c r="H3005" t="inlineStr">
        <is>
          <t>Staging_Development</t>
        </is>
      </c>
      <c r="I3005" t="inlineStr">
        <is>
          <t>merged</t>
        </is>
      </c>
      <c r="J3005" t="inlineStr"/>
      <c r="K3005" t="inlineStr"/>
      <c r="L3005" t="inlineStr"/>
      <c r="M3005" t="inlineStr"/>
      <c r="N3005" t="inlineStr"/>
      <c r="O3005" t="inlineStr"/>
      <c r="P3005" t="inlineStr"/>
      <c r="Q3005" t="inlineStr"/>
    </row>
    <row r="3006">
      <c r="A3006" t="inlineStr">
        <is>
          <t>soumi.b</t>
        </is>
      </c>
      <c r="B3006" t="inlineStr">
        <is>
          <t>Soumi Basak</t>
        </is>
      </c>
      <c r="C3006" t="inlineStr">
        <is>
          <t>soumi.b@osmosys.co</t>
        </is>
      </c>
      <c r="D3006" t="inlineStr">
        <is>
          <t>tp</t>
        </is>
      </c>
      <c r="E3006">
        <f>HYPERLINK("http://gitlab.osmosys.co/tp/tp360", "TP360")</f>
        <v/>
      </c>
      <c r="F3006">
        <f>HYPERLINK("http://gitlab.osmosys.co/tp/tp360/-/merge_requests/3026", "17497: Add the UserId parameter to the API request payload for all the steps in Core logic")</f>
        <v/>
      </c>
      <c r="G3006" t="inlineStr">
        <is>
          <t>cherry-pick-fb2b8cbc</t>
        </is>
      </c>
      <c r="H3006" t="inlineStr">
        <is>
          <t>Staging_Development</t>
        </is>
      </c>
      <c r="I3006" t="inlineStr">
        <is>
          <t>merged</t>
        </is>
      </c>
      <c r="J3006" t="inlineStr"/>
      <c r="K3006" t="inlineStr"/>
      <c r="L3006" t="inlineStr"/>
      <c r="M3006" t="inlineStr"/>
      <c r="N3006" t="inlineStr"/>
      <c r="O3006" t="inlineStr"/>
      <c r="P3006" t="inlineStr"/>
      <c r="Q3006" t="inlineStr"/>
    </row>
    <row r="3007">
      <c r="A3007" t="inlineStr">
        <is>
          <t>soumi.b</t>
        </is>
      </c>
      <c r="B3007" t="inlineStr">
        <is>
          <t>Soumi Basak</t>
        </is>
      </c>
      <c r="C3007" t="inlineStr">
        <is>
          <t>soumi.b@osmosys.co</t>
        </is>
      </c>
      <c r="D3007" t="inlineStr">
        <is>
          <t>tp</t>
        </is>
      </c>
      <c r="E3007">
        <f>HYPERLINK("http://gitlab.osmosys.co/tp/tp360", "TP360")</f>
        <v/>
      </c>
      <c r="F3007">
        <f>HYPERLINK("http://gitlab.osmosys.co/tp/tp360/-/merge_requests/3025", "Issue: Fix issue of IsGuest value going wrong in Daily Rates")</f>
        <v/>
      </c>
      <c r="G3007" t="inlineStr">
        <is>
          <t>cherry-pick-4ec437c0</t>
        </is>
      </c>
      <c r="H3007" t="inlineStr">
        <is>
          <t>Staging_Development</t>
        </is>
      </c>
      <c r="I3007" t="inlineStr">
        <is>
          <t>merged</t>
        </is>
      </c>
      <c r="J3007" t="inlineStr"/>
      <c r="K3007" t="inlineStr"/>
      <c r="L3007" t="inlineStr"/>
      <c r="M3007" t="inlineStr"/>
      <c r="N3007" t="inlineStr"/>
      <c r="O3007" t="inlineStr"/>
      <c r="P3007" t="inlineStr"/>
      <c r="Q3007" t="inlineStr"/>
    </row>
    <row r="3008">
      <c r="A3008" t="inlineStr">
        <is>
          <t>soumi.b</t>
        </is>
      </c>
      <c r="B3008" t="inlineStr">
        <is>
          <t>Soumi Basak</t>
        </is>
      </c>
      <c r="C3008" t="inlineStr">
        <is>
          <t>soumi.b@osmosys.co</t>
        </is>
      </c>
      <c r="D3008" t="inlineStr">
        <is>
          <t>tp</t>
        </is>
      </c>
      <c r="E3008">
        <f>HYPERLINK("http://gitlab.osmosys.co/tp/tp360", "TP360")</f>
        <v/>
      </c>
      <c r="F3008">
        <f>HYPERLINK("http://gitlab.osmosys.co/tp/tp360/-/merge_requests/3024", "Issue: Fix MI-MO Request payload")</f>
        <v/>
      </c>
      <c r="G3008" t="inlineStr">
        <is>
          <t>cherry-pick-af7b6668-2</t>
        </is>
      </c>
      <c r="H3008" t="inlineStr">
        <is>
          <t>Live_Bridge</t>
        </is>
      </c>
      <c r="I3008" t="inlineStr">
        <is>
          <t>merged</t>
        </is>
      </c>
      <c r="J3008" t="inlineStr"/>
      <c r="K3008" t="inlineStr"/>
      <c r="L3008" t="inlineStr"/>
      <c r="M3008" t="inlineStr"/>
      <c r="N3008" t="inlineStr"/>
      <c r="O3008" t="inlineStr"/>
      <c r="P3008" t="inlineStr"/>
      <c r="Q3008" t="inlineStr"/>
    </row>
    <row r="3009">
      <c r="A3009" t="inlineStr">
        <is>
          <t>soumi.b</t>
        </is>
      </c>
      <c r="B3009" t="inlineStr">
        <is>
          <t>Soumi Basak</t>
        </is>
      </c>
      <c r="C3009" t="inlineStr">
        <is>
          <t>soumi.b@osmosys.co</t>
        </is>
      </c>
      <c r="D3009" t="inlineStr">
        <is>
          <t>tp</t>
        </is>
      </c>
      <c r="E3009">
        <f>HYPERLINK("http://gitlab.osmosys.co/tp/tp360", "TP360")</f>
        <v/>
      </c>
      <c r="F3009">
        <f>HYPERLINK("http://gitlab.osmosys.co/tp/tp360/-/merge_requests/3023", "Issue: Fix MI-MO Request payload")</f>
        <v/>
      </c>
      <c r="G3009" t="inlineStr">
        <is>
          <t>cherry-pick-af7b6668</t>
        </is>
      </c>
      <c r="H3009" t="inlineStr">
        <is>
          <t>Staging_Development</t>
        </is>
      </c>
      <c r="I3009" t="inlineStr">
        <is>
          <t>merged</t>
        </is>
      </c>
      <c r="J3009" t="inlineStr"/>
      <c r="K3009" t="inlineStr"/>
      <c r="L3009" t="inlineStr"/>
      <c r="M3009" t="inlineStr"/>
      <c r="N3009" t="inlineStr"/>
      <c r="O3009" t="inlineStr"/>
      <c r="P3009" t="inlineStr"/>
      <c r="Q3009" t="inlineStr"/>
    </row>
    <row r="3010">
      <c r="A3010" t="inlineStr">
        <is>
          <t>soumi.b</t>
        </is>
      </c>
      <c r="B3010" t="inlineStr">
        <is>
          <t>Soumi Basak</t>
        </is>
      </c>
      <c r="C3010" t="inlineStr">
        <is>
          <t>soumi.b@osmosys.co</t>
        </is>
      </c>
      <c r="D3010" t="inlineStr">
        <is>
          <t>tp</t>
        </is>
      </c>
      <c r="E3010">
        <f>HYPERLINK("http://gitlab.osmosys.co/tp/tp360", "TP360")</f>
        <v/>
      </c>
      <c r="F3010">
        <f>HYPERLINK("http://gitlab.osmosys.co/tp/tp360/-/merge_requests/3022", "14723: Implement Functionality of Auto extension checkbox in Guest side - details block")</f>
        <v/>
      </c>
      <c r="G3010" t="inlineStr">
        <is>
          <t>cherry-pick-2bfd5b0c</t>
        </is>
      </c>
      <c r="H3010" t="inlineStr">
        <is>
          <t>Staging_Development</t>
        </is>
      </c>
      <c r="I3010" t="inlineStr">
        <is>
          <t>merged</t>
        </is>
      </c>
      <c r="J3010" t="inlineStr"/>
      <c r="K3010" t="inlineStr"/>
      <c r="L3010" t="inlineStr"/>
      <c r="M3010" t="inlineStr"/>
      <c r="N3010" t="inlineStr"/>
      <c r="O3010" t="inlineStr"/>
      <c r="P3010" t="inlineStr"/>
      <c r="Q3010" t="inlineStr"/>
    </row>
    <row r="3011">
      <c r="A3011" t="inlineStr">
        <is>
          <t>soumi.b</t>
        </is>
      </c>
      <c r="B3011" t="inlineStr">
        <is>
          <t>Soumi Basak</t>
        </is>
      </c>
      <c r="C3011" t="inlineStr">
        <is>
          <t>soumi.b@osmosys.co</t>
        </is>
      </c>
      <c r="D3011" t="inlineStr">
        <is>
          <t>tp</t>
        </is>
      </c>
      <c r="E3011">
        <f>HYPERLINK("http://gitlab.osmosys.co/tp/tp360", "TP360")</f>
        <v/>
      </c>
      <c r="F3011">
        <f>HYPERLINK("http://gitlab.osmosys.co/tp/tp360/-/merge_requests/3017", "Issue: Fix the issue of Edit button displaying for Non managers")</f>
        <v/>
      </c>
      <c r="G3011" t="inlineStr">
        <is>
          <t>cherry-pick-b52ecba5</t>
        </is>
      </c>
      <c r="H3011" t="inlineStr">
        <is>
          <t>Staging_Development</t>
        </is>
      </c>
      <c r="I3011" t="inlineStr">
        <is>
          <t>merged</t>
        </is>
      </c>
      <c r="J3011" t="inlineStr"/>
      <c r="K3011" t="inlineStr"/>
      <c r="L3011" t="inlineStr"/>
      <c r="M3011" t="inlineStr"/>
      <c r="N3011" t="inlineStr"/>
      <c r="O3011" t="inlineStr"/>
      <c r="P3011" t="inlineStr"/>
      <c r="Q3011" t="inlineStr"/>
    </row>
    <row r="3012">
      <c r="A3012" t="inlineStr">
        <is>
          <t>soumi.b</t>
        </is>
      </c>
      <c r="B3012" t="inlineStr">
        <is>
          <t>Soumi Basak</t>
        </is>
      </c>
      <c r="C3012" t="inlineStr">
        <is>
          <t>soumi.b@osmosys.co</t>
        </is>
      </c>
      <c r="D3012" t="inlineStr">
        <is>
          <t>tp</t>
        </is>
      </c>
      <c r="E3012">
        <f>HYPERLINK("http://gitlab.osmosys.co/tp/tp360", "TP360")</f>
        <v/>
      </c>
      <c r="F3012">
        <f>HYPERLINK("http://gitlab.osmosys.co/tp/tp360/-/merge_requests/3016", "16809: Update phone number format in payload at all places")</f>
        <v/>
      </c>
      <c r="G3012" t="inlineStr">
        <is>
          <t>cherry-pick-84706e1c</t>
        </is>
      </c>
      <c r="H3012" t="inlineStr">
        <is>
          <t>Staging_Development</t>
        </is>
      </c>
      <c r="I3012" t="inlineStr">
        <is>
          <t>merged</t>
        </is>
      </c>
      <c r="J3012" t="inlineStr"/>
      <c r="K3012" t="inlineStr"/>
      <c r="L3012" t="inlineStr"/>
      <c r="M3012" t="inlineStr"/>
      <c r="N3012" t="inlineStr"/>
      <c r="O3012" t="inlineStr"/>
      <c r="P3012" t="inlineStr"/>
      <c r="Q3012" t="inlineStr"/>
    </row>
    <row r="3013">
      <c r="A3013" t="inlineStr">
        <is>
          <t>soumi.b</t>
        </is>
      </c>
      <c r="B3013" t="inlineStr">
        <is>
          <t>Soumi Basak</t>
        </is>
      </c>
      <c r="C3013" t="inlineStr">
        <is>
          <t>soumi.b@osmosys.co</t>
        </is>
      </c>
      <c r="D3013" t="inlineStr">
        <is>
          <t>tp</t>
        </is>
      </c>
      <c r="E3013">
        <f>HYPERLINK("http://gitlab.osmosys.co/tp/tp360", "TP360")</f>
        <v/>
      </c>
      <c r="F3013">
        <f>HYPERLINK("http://gitlab.osmosys.co/tp/tp360/-/merge_requests/3015", "Merge branch 'dev/add-corelogic-button-documents' into 'PreTest_Development'")</f>
        <v/>
      </c>
      <c r="G3013" t="inlineStr">
        <is>
          <t>Staging_Development</t>
        </is>
      </c>
      <c r="H3013" t="inlineStr">
        <is>
          <t>Live_Bridge</t>
        </is>
      </c>
      <c r="I3013" t="inlineStr">
        <is>
          <t>closed</t>
        </is>
      </c>
      <c r="J3013" t="inlineStr"/>
      <c r="K3013" t="inlineStr"/>
      <c r="L3013" t="inlineStr"/>
      <c r="M3013" t="inlineStr"/>
      <c r="N3013" t="inlineStr"/>
      <c r="O3013" t="inlineStr"/>
      <c r="P3013" t="inlineStr"/>
      <c r="Q3013" t="inlineStr"/>
    </row>
    <row r="3014">
      <c r="A3014" t="inlineStr">
        <is>
          <t>soumi.b</t>
        </is>
      </c>
      <c r="B3014" t="inlineStr">
        <is>
          <t>Soumi Basak</t>
        </is>
      </c>
      <c r="C3014" t="inlineStr">
        <is>
          <t>soumi.b@osmosys.co</t>
        </is>
      </c>
      <c r="D3014" t="inlineStr">
        <is>
          <t>tp</t>
        </is>
      </c>
      <c r="E3014">
        <f>HYPERLINK("http://gitlab.osmosys.co/tp/tp360", "TP360")</f>
        <v/>
      </c>
      <c r="F3014">
        <f>HYPERLINK("http://gitlab.osmosys.co/tp/tp360/-/merge_requests/3014", "Issue : Mark all the checkbox labels as mentioned in excel sheet")</f>
        <v/>
      </c>
      <c r="G3014" t="inlineStr">
        <is>
          <t>cherry-pick-41e3bd83</t>
        </is>
      </c>
      <c r="H3014" t="inlineStr">
        <is>
          <t>Staging_Development</t>
        </is>
      </c>
      <c r="I3014" t="inlineStr">
        <is>
          <t>merged</t>
        </is>
      </c>
      <c r="J3014" t="inlineStr"/>
      <c r="K3014" t="inlineStr"/>
      <c r="L3014" t="inlineStr"/>
      <c r="M3014" t="inlineStr"/>
      <c r="N3014" t="inlineStr"/>
      <c r="O3014" t="inlineStr"/>
      <c r="P3014" t="inlineStr"/>
      <c r="Q3014" t="inlineStr"/>
    </row>
    <row r="3015">
      <c r="A3015" t="inlineStr">
        <is>
          <t>soumi.b</t>
        </is>
      </c>
      <c r="B3015" t="inlineStr">
        <is>
          <t>Soumi Basak</t>
        </is>
      </c>
      <c r="C3015" t="inlineStr">
        <is>
          <t>soumi.b@osmosys.co</t>
        </is>
      </c>
      <c r="D3015" t="inlineStr">
        <is>
          <t>tp</t>
        </is>
      </c>
      <c r="E3015">
        <f>HYPERLINK("http://gitlab.osmosys.co/tp/tp360", "TP360")</f>
        <v/>
      </c>
      <c r="F3015">
        <f>HYPERLINK("http://gitlab.osmosys.co/tp/tp360/-/merge_requests/3012", "Issue: Fix State not populating in guest placement without expanding placement block")</f>
        <v/>
      </c>
      <c r="G3015" t="inlineStr">
        <is>
          <t>cherry-pick-ed7efece</t>
        </is>
      </c>
      <c r="H3015" t="inlineStr">
        <is>
          <t>Staging_Development</t>
        </is>
      </c>
      <c r="I3015" t="inlineStr">
        <is>
          <t>merged</t>
        </is>
      </c>
      <c r="J3015" t="inlineStr"/>
      <c r="K3015" t="inlineStr"/>
      <c r="L3015" t="inlineStr"/>
      <c r="M3015" t="inlineStr"/>
      <c r="N3015" t="inlineStr"/>
      <c r="O3015" t="inlineStr"/>
      <c r="P3015" t="inlineStr"/>
      <c r="Q3015" t="inlineStr"/>
    </row>
    <row r="3016">
      <c r="A3016" t="inlineStr">
        <is>
          <t>soumi.b</t>
        </is>
      </c>
      <c r="B3016" t="inlineStr">
        <is>
          <t>Soumi Basak</t>
        </is>
      </c>
      <c r="C3016" t="inlineStr">
        <is>
          <t>soumi.b@osmosys.co</t>
        </is>
      </c>
      <c r="D3016" t="inlineStr">
        <is>
          <t>tp</t>
        </is>
      </c>
      <c r="E3016">
        <f>HYPERLINK("http://gitlab.osmosys.co/tp/tp360", "TP360")</f>
        <v/>
      </c>
      <c r="F3016">
        <f>HYPERLINK("http://gitlab.osmosys.co/tp/tp360/-/merge_requests/3011", "Issue: Implement sorting in Archive popup")</f>
        <v/>
      </c>
      <c r="G3016" t="inlineStr">
        <is>
          <t>dev/archieve-popup</t>
        </is>
      </c>
      <c r="H3016" t="inlineStr">
        <is>
          <t>PreTest_Development</t>
        </is>
      </c>
      <c r="I3016" t="inlineStr">
        <is>
          <t>merged</t>
        </is>
      </c>
      <c r="J3016" t="inlineStr"/>
      <c r="K3016" t="inlineStr"/>
      <c r="L3016" t="inlineStr"/>
      <c r="M3016" t="inlineStr"/>
      <c r="N3016" t="inlineStr"/>
      <c r="O3016" t="inlineStr"/>
      <c r="P3016" t="inlineStr"/>
      <c r="Q3016" t="inlineStr"/>
    </row>
    <row r="3017">
      <c r="A3017" t="inlineStr">
        <is>
          <t>soumi.b</t>
        </is>
      </c>
      <c r="B3017" t="inlineStr">
        <is>
          <t>Soumi Basak</t>
        </is>
      </c>
      <c r="C3017" t="inlineStr">
        <is>
          <t>soumi.b@osmosys.co</t>
        </is>
      </c>
      <c r="D3017" t="inlineStr">
        <is>
          <t>tp</t>
        </is>
      </c>
      <c r="E3017">
        <f>HYPERLINK("http://gitlab.osmosys.co/tp/tp360", "TP360")</f>
        <v/>
      </c>
      <c r="F3017">
        <f>HYPERLINK("http://gitlab.osmosys.co/tp/tp360/-/merge_requests/3010", "10639: Integrate the Archive get api")</f>
        <v/>
      </c>
      <c r="G3017" t="inlineStr">
        <is>
          <t>cherry-pick-ad29dfa7-2</t>
        </is>
      </c>
      <c r="H3017" t="inlineStr">
        <is>
          <t>Live_Bridge</t>
        </is>
      </c>
      <c r="I3017" t="inlineStr">
        <is>
          <t>merged</t>
        </is>
      </c>
      <c r="J3017" t="inlineStr"/>
      <c r="K3017" t="inlineStr"/>
      <c r="L3017" t="inlineStr"/>
      <c r="M3017" t="inlineStr"/>
      <c r="N3017" t="inlineStr"/>
      <c r="O3017" t="inlineStr"/>
      <c r="P3017" t="inlineStr"/>
      <c r="Q3017" t="inlineStr"/>
    </row>
    <row r="3018">
      <c r="A3018" t="inlineStr">
        <is>
          <t>soumi.b</t>
        </is>
      </c>
      <c r="B3018" t="inlineStr">
        <is>
          <t>Soumi Basak</t>
        </is>
      </c>
      <c r="C3018" t="inlineStr">
        <is>
          <t>soumi.b@osmosys.co</t>
        </is>
      </c>
      <c r="D3018" t="inlineStr">
        <is>
          <t>tp</t>
        </is>
      </c>
      <c r="E3018">
        <f>HYPERLINK("http://gitlab.osmosys.co/tp/tp360", "TP360")</f>
        <v/>
      </c>
      <c r="F3018">
        <f>HYPERLINK("http://gitlab.osmosys.co/tp/tp360/-/merge_requests/3009", "Dev: Integrate the Archive get api")</f>
        <v/>
      </c>
      <c r="G3018" t="inlineStr">
        <is>
          <t>cherry-pick-ad29dfa7</t>
        </is>
      </c>
      <c r="H3018" t="inlineStr">
        <is>
          <t>Staging_Development</t>
        </is>
      </c>
      <c r="I3018" t="inlineStr">
        <is>
          <t>merged</t>
        </is>
      </c>
      <c r="J3018" t="inlineStr"/>
      <c r="K3018" t="inlineStr"/>
      <c r="L3018" t="inlineStr"/>
      <c r="M3018" t="inlineStr"/>
      <c r="N3018" t="inlineStr"/>
      <c r="O3018" t="inlineStr"/>
      <c r="P3018" t="inlineStr"/>
      <c r="Q3018" t="inlineStr"/>
    </row>
    <row r="3019">
      <c r="A3019" t="inlineStr">
        <is>
          <t>soumi.b</t>
        </is>
      </c>
      <c r="B3019" t="inlineStr">
        <is>
          <t>Soumi Basak</t>
        </is>
      </c>
      <c r="C3019" t="inlineStr">
        <is>
          <t>soumi.b@osmosys.co</t>
        </is>
      </c>
      <c r="D3019" t="inlineStr">
        <is>
          <t>tp</t>
        </is>
      </c>
      <c r="E3019">
        <f>HYPERLINK("http://gitlab.osmosys.co/tp/tp360", "TP360")</f>
        <v/>
      </c>
      <c r="F3019">
        <f>HYPERLINK("http://gitlab.osmosys.co/tp/tp360/-/merge_requests/3008", "Dev: Integrate the Archive get api")</f>
        <v/>
      </c>
      <c r="G3019" t="inlineStr">
        <is>
          <t>dev/archieve-popup</t>
        </is>
      </c>
      <c r="H3019" t="inlineStr">
        <is>
          <t>PreTest_Development</t>
        </is>
      </c>
      <c r="I3019" t="inlineStr">
        <is>
          <t>merged</t>
        </is>
      </c>
      <c r="J3019" t="inlineStr"/>
      <c r="K3019" t="inlineStr"/>
      <c r="L3019" t="inlineStr"/>
      <c r="M3019" t="inlineStr"/>
      <c r="N3019" t="inlineStr"/>
      <c r="O3019" t="inlineStr"/>
      <c r="P3019" t="inlineStr"/>
      <c r="Q3019" t="inlineStr"/>
    </row>
    <row r="3020">
      <c r="A3020" t="inlineStr">
        <is>
          <t>soumi.b</t>
        </is>
      </c>
      <c r="B3020" t="inlineStr">
        <is>
          <t>Soumi Basak</t>
        </is>
      </c>
      <c r="C3020" t="inlineStr">
        <is>
          <t>soumi.b@osmosys.co</t>
        </is>
      </c>
      <c r="D3020" t="inlineStr">
        <is>
          <t>tp</t>
        </is>
      </c>
      <c r="E3020">
        <f>HYPERLINK("http://gitlab.osmosys.co/tp/tp360", "TP360")</f>
        <v/>
      </c>
      <c r="F3020">
        <f>HYPERLINK("http://gitlab.osmosys.co/tp/tp360/-/merge_requests/3006", "Issue: Fix preferences and data not loading in ReloShare Hotel Worksheet")</f>
        <v/>
      </c>
      <c r="G3020" t="inlineStr">
        <is>
          <t>cherry-pick-45b08184</t>
        </is>
      </c>
      <c r="H3020" t="inlineStr">
        <is>
          <t>Staging_Development</t>
        </is>
      </c>
      <c r="I3020" t="inlineStr">
        <is>
          <t>merged</t>
        </is>
      </c>
      <c r="J3020" t="inlineStr"/>
      <c r="K3020" t="inlineStr"/>
      <c r="L3020" t="inlineStr"/>
      <c r="M3020" t="inlineStr"/>
      <c r="N3020" t="inlineStr"/>
      <c r="O3020" t="inlineStr"/>
      <c r="P3020" t="inlineStr"/>
      <c r="Q3020" t="inlineStr"/>
    </row>
    <row r="3021">
      <c r="A3021" t="inlineStr">
        <is>
          <t>soumi.b</t>
        </is>
      </c>
      <c r="B3021" t="inlineStr">
        <is>
          <t>Soumi Basak</t>
        </is>
      </c>
      <c r="C3021" t="inlineStr">
        <is>
          <t>soumi.b@osmosys.co</t>
        </is>
      </c>
      <c r="D3021" t="inlineStr">
        <is>
          <t>tp</t>
        </is>
      </c>
      <c r="E3021">
        <f>HYPERLINK("http://gitlab.osmosys.co/tp/tp360", "TP360")</f>
        <v/>
      </c>
      <c r="F3021">
        <f>HYPERLINK("http://gitlab.osmosys.co/tp/tp360/-/merge_requests/3005", "Update Column header classes for audit and hotel audit worksheet")</f>
        <v/>
      </c>
      <c r="G3021" t="inlineStr">
        <is>
          <t>cherry-pick-897d37a5</t>
        </is>
      </c>
      <c r="H3021" t="inlineStr">
        <is>
          <t>Staging_Development</t>
        </is>
      </c>
      <c r="I3021" t="inlineStr">
        <is>
          <t>merged</t>
        </is>
      </c>
      <c r="J3021" t="inlineStr"/>
      <c r="K3021" t="inlineStr"/>
      <c r="L3021" t="inlineStr"/>
      <c r="M3021" t="inlineStr"/>
      <c r="N3021" t="inlineStr"/>
      <c r="O3021" t="inlineStr"/>
      <c r="P3021" t="inlineStr"/>
      <c r="Q3021" t="inlineStr"/>
    </row>
    <row r="3022">
      <c r="A3022" t="inlineStr">
        <is>
          <t>soumi.b</t>
        </is>
      </c>
      <c r="B3022" t="inlineStr">
        <is>
          <t>Soumi Basak</t>
        </is>
      </c>
      <c r="C3022" t="inlineStr">
        <is>
          <t>soumi.b@osmosys.co</t>
        </is>
      </c>
      <c r="D3022" t="inlineStr">
        <is>
          <t>tp</t>
        </is>
      </c>
      <c r="E3022">
        <f>HYPERLINK("http://gitlab.osmosys.co/tp/tp360", "TP360")</f>
        <v/>
      </c>
      <c r="F3022">
        <f>HYPERLINK("http://gitlab.osmosys.co/tp/tp360/-/merge_requests/3001", "Implement Functionality of Auto extension checkbox in Guest side - details block")</f>
        <v/>
      </c>
      <c r="G3022" t="inlineStr">
        <is>
          <t>dev/auto-ext-guet-sidde</t>
        </is>
      </c>
      <c r="H3022" t="inlineStr">
        <is>
          <t>PreTest_Development</t>
        </is>
      </c>
      <c r="I3022" t="inlineStr">
        <is>
          <t>merged</t>
        </is>
      </c>
      <c r="J3022" t="inlineStr"/>
      <c r="K3022" t="inlineStr"/>
      <c r="L3022" t="inlineStr"/>
      <c r="M3022" t="inlineStr"/>
      <c r="N3022" t="inlineStr"/>
      <c r="O3022" t="inlineStr"/>
      <c r="P3022" t="inlineStr"/>
      <c r="Q3022" t="inlineStr"/>
    </row>
    <row r="3023">
      <c r="A3023" t="inlineStr">
        <is>
          <t>soumi.b</t>
        </is>
      </c>
      <c r="B3023" t="inlineStr">
        <is>
          <t>Soumi Basak</t>
        </is>
      </c>
      <c r="C3023" t="inlineStr">
        <is>
          <t>soumi.b@osmosys.co</t>
        </is>
      </c>
      <c r="D3023" t="inlineStr">
        <is>
          <t>tp</t>
        </is>
      </c>
      <c r="E3023">
        <f>HYPERLINK("http://gitlab.osmosys.co/tp/tp360", "TP360")</f>
        <v/>
      </c>
      <c r="F3023">
        <f>HYPERLINK("http://gitlab.osmosys.co/tp/tp360/-/merge_requests/3000", "17497: Add the UserId parameter to the API request payload for all the steps in Core logic")</f>
        <v/>
      </c>
      <c r="G3023" t="inlineStr">
        <is>
          <t>issue/core-logic-alignments</t>
        </is>
      </c>
      <c r="H3023" t="inlineStr">
        <is>
          <t>PreTest_Development</t>
        </is>
      </c>
      <c r="I3023" t="inlineStr">
        <is>
          <t>merged</t>
        </is>
      </c>
      <c r="J3023" t="inlineStr"/>
      <c r="K3023" t="inlineStr"/>
      <c r="L3023" t="inlineStr"/>
      <c r="M3023" t="inlineStr"/>
      <c r="N3023" t="inlineStr"/>
      <c r="O3023" t="inlineStr"/>
      <c r="P3023" t="inlineStr"/>
      <c r="Q3023" t="inlineStr"/>
    </row>
    <row r="3024">
      <c r="A3024" t="inlineStr">
        <is>
          <t>soumi.b</t>
        </is>
      </c>
      <c r="B3024" t="inlineStr">
        <is>
          <t>Soumi Basak</t>
        </is>
      </c>
      <c r="C3024" t="inlineStr">
        <is>
          <t>soumi.b@osmosys.co</t>
        </is>
      </c>
      <c r="D3024" t="inlineStr">
        <is>
          <t>tp</t>
        </is>
      </c>
      <c r="E3024">
        <f>HYPERLINK("http://gitlab.osmosys.co/tp/tp360", "TP360")</f>
        <v/>
      </c>
      <c r="F3024">
        <f>HYPERLINK("http://gitlab.osmosys.co/tp/tp360/-/merge_requests/2997", "Update the save functionality of core logic")</f>
        <v/>
      </c>
      <c r="G3024" t="inlineStr">
        <is>
          <t>cherry-pick-7c62d71c</t>
        </is>
      </c>
      <c r="H3024" t="inlineStr">
        <is>
          <t>PreTest_Development</t>
        </is>
      </c>
      <c r="I3024" t="inlineStr">
        <is>
          <t>merged</t>
        </is>
      </c>
      <c r="J3024" t="inlineStr"/>
      <c r="K3024" t="inlineStr"/>
      <c r="L3024" t="inlineStr"/>
      <c r="M3024" t="inlineStr"/>
      <c r="N3024" t="inlineStr"/>
      <c r="O3024" t="inlineStr"/>
      <c r="P3024" t="inlineStr"/>
      <c r="Q3024" t="inlineStr"/>
    </row>
    <row r="3025">
      <c r="A3025" t="inlineStr">
        <is>
          <t>soumi.b</t>
        </is>
      </c>
      <c r="B3025" t="inlineStr">
        <is>
          <t>Soumi Basak</t>
        </is>
      </c>
      <c r="C3025" t="inlineStr">
        <is>
          <t>soumi.b@osmosys.co</t>
        </is>
      </c>
      <c r="D3025" t="inlineStr">
        <is>
          <t>tp</t>
        </is>
      </c>
      <c r="E3025">
        <f>HYPERLINK("http://gitlab.osmosys.co/tp/tp360", "TP360")</f>
        <v/>
      </c>
      <c r="F3025">
        <f>HYPERLINK("http://gitlab.osmosys.co/tp/tp360/-/merge_requests/2995", "17640 : Change the labels for the issues in the api payload")</f>
        <v/>
      </c>
      <c r="G3025" t="inlineStr">
        <is>
          <t>cherry-pick-25d2b875</t>
        </is>
      </c>
      <c r="H3025" t="inlineStr">
        <is>
          <t>Staging_Development</t>
        </is>
      </c>
      <c r="I3025" t="inlineStr">
        <is>
          <t>merged</t>
        </is>
      </c>
      <c r="J3025" t="inlineStr"/>
      <c r="K3025" t="inlineStr"/>
      <c r="L3025" t="inlineStr"/>
      <c r="M3025" t="inlineStr"/>
      <c r="N3025" t="inlineStr"/>
      <c r="O3025" t="inlineStr"/>
      <c r="P3025" t="inlineStr"/>
      <c r="Q3025" t="inlineStr"/>
    </row>
    <row r="3026">
      <c r="A3026" t="inlineStr">
        <is>
          <t>soumi.b</t>
        </is>
      </c>
      <c r="B3026" t="inlineStr">
        <is>
          <t>Soumi Basak</t>
        </is>
      </c>
      <c r="C3026" t="inlineStr">
        <is>
          <t>soumi.b@osmosys.co</t>
        </is>
      </c>
      <c r="D3026" t="inlineStr">
        <is>
          <t>tp</t>
        </is>
      </c>
      <c r="E3026">
        <f>HYPERLINK("http://gitlab.osmosys.co/tp/tp360", "TP360")</f>
        <v/>
      </c>
      <c r="F3026">
        <f>HYPERLINK("http://gitlab.osmosys.co/tp/tp360/-/merge_requests/2992", "Fix column filters for Stay cancel, DS activity and Reasonal lost column in DS worksheet")</f>
        <v/>
      </c>
      <c r="G3026" t="inlineStr">
        <is>
          <t>cherry-pick-eb79629a</t>
        </is>
      </c>
      <c r="H3026" t="inlineStr">
        <is>
          <t>Staging_Development</t>
        </is>
      </c>
      <c r="I3026" t="inlineStr">
        <is>
          <t>merged</t>
        </is>
      </c>
      <c r="J3026" t="inlineStr"/>
      <c r="K3026" t="inlineStr"/>
      <c r="L3026" t="inlineStr"/>
      <c r="M3026" t="inlineStr"/>
      <c r="N3026" t="inlineStr"/>
      <c r="O3026" t="inlineStr"/>
      <c r="P3026" t="inlineStr"/>
      <c r="Q3026" t="inlineStr"/>
    </row>
    <row r="3027">
      <c r="A3027" t="inlineStr">
        <is>
          <t>soumi.b</t>
        </is>
      </c>
      <c r="B3027" t="inlineStr">
        <is>
          <t>Soumi Basak</t>
        </is>
      </c>
      <c r="C3027" t="inlineStr">
        <is>
          <t>soumi.b@osmosys.co</t>
        </is>
      </c>
      <c r="D3027" t="inlineStr">
        <is>
          <t>tp</t>
        </is>
      </c>
      <c r="E3027">
        <f>HYPERLINK("http://gitlab.osmosys.co/tp/tp360", "TP360")</f>
        <v/>
      </c>
      <c r="F3027">
        <f>HYPERLINK("http://gitlab.osmosys.co/tp/tp360/-/merge_requests/2991", "Fix column filters for Stay cancel, DS activity and Reasonal lost column in DS worksheet")</f>
        <v/>
      </c>
      <c r="G3027" t="inlineStr">
        <is>
          <t>issue/ds-ws-column-filters</t>
        </is>
      </c>
      <c r="H3027" t="inlineStr">
        <is>
          <t>PreTest_Development</t>
        </is>
      </c>
      <c r="I3027" t="inlineStr">
        <is>
          <t>merged</t>
        </is>
      </c>
      <c r="J3027" t="inlineStr"/>
      <c r="K3027" t="inlineStr"/>
      <c r="L3027" t="inlineStr"/>
      <c r="M3027" t="inlineStr"/>
      <c r="N3027" t="inlineStr"/>
      <c r="O3027" t="inlineStr"/>
      <c r="P3027" t="inlineStr"/>
      <c r="Q3027" t="inlineStr"/>
    </row>
    <row r="3028">
      <c r="A3028" t="inlineStr">
        <is>
          <t>soumi.b</t>
        </is>
      </c>
      <c r="B3028" t="inlineStr">
        <is>
          <t>Soumi Basak</t>
        </is>
      </c>
      <c r="C3028" t="inlineStr">
        <is>
          <t>soumi.b@osmosys.co</t>
        </is>
      </c>
      <c r="D3028" t="inlineStr">
        <is>
          <t>tp</t>
        </is>
      </c>
      <c r="E3028">
        <f>HYPERLINK("http://gitlab.osmosys.co/tp/tp360", "TP360")</f>
        <v/>
      </c>
      <c r="F3028">
        <f>HYPERLINK("http://gitlab.osmosys.co/tp/tp360/-/merge_requests/2989", "Update the save functionality of core logic")</f>
        <v/>
      </c>
      <c r="G3028" t="inlineStr">
        <is>
          <t>dev/core-logic-change</t>
        </is>
      </c>
      <c r="H3028" t="inlineStr">
        <is>
          <t>Staging_Development</t>
        </is>
      </c>
      <c r="I3028" t="inlineStr">
        <is>
          <t>merged</t>
        </is>
      </c>
      <c r="J3028" t="inlineStr"/>
      <c r="K3028" t="inlineStr"/>
      <c r="L3028" t="inlineStr"/>
      <c r="M3028" t="inlineStr"/>
      <c r="N3028" t="inlineStr"/>
      <c r="O3028" t="inlineStr"/>
      <c r="P3028" t="inlineStr"/>
      <c r="Q3028" t="inlineStr"/>
    </row>
    <row r="3029">
      <c r="A3029" t="inlineStr">
        <is>
          <t>soumi.b</t>
        </is>
      </c>
      <c r="B3029" t="inlineStr">
        <is>
          <t>Soumi Basak</t>
        </is>
      </c>
      <c r="C3029" t="inlineStr">
        <is>
          <t>soumi.b@osmosys.co</t>
        </is>
      </c>
      <c r="D3029" t="inlineStr">
        <is>
          <t>tp</t>
        </is>
      </c>
      <c r="E3029">
        <f>HYPERLINK("http://gitlab.osmosys.co/tp/tp360", "TP360")</f>
        <v/>
      </c>
      <c r="F3029">
        <f>HYPERLINK("http://gitlab.osmosys.co/tp/tp360/-/merge_requests/2988", "Issue: Fix State not populating in data-entry")</f>
        <v/>
      </c>
      <c r="G3029" t="inlineStr">
        <is>
          <t>cherry-pick-def42a8f</t>
        </is>
      </c>
      <c r="H3029" t="inlineStr">
        <is>
          <t>Staging_Development</t>
        </is>
      </c>
      <c r="I3029" t="inlineStr">
        <is>
          <t>merged</t>
        </is>
      </c>
      <c r="J3029" t="inlineStr"/>
      <c r="K3029" t="inlineStr"/>
      <c r="L3029" t="inlineStr"/>
      <c r="M3029" t="inlineStr"/>
      <c r="N3029" t="inlineStr"/>
      <c r="O3029" t="inlineStr"/>
      <c r="P3029" t="inlineStr"/>
      <c r="Q3029" t="inlineStr"/>
    </row>
    <row r="3030">
      <c r="A3030" t="inlineStr">
        <is>
          <t>soumi.b</t>
        </is>
      </c>
      <c r="B3030" t="inlineStr">
        <is>
          <t>Soumi Basak</t>
        </is>
      </c>
      <c r="C3030" t="inlineStr">
        <is>
          <t>soumi.b@osmosys.co</t>
        </is>
      </c>
      <c r="D3030" t="inlineStr">
        <is>
          <t>tp</t>
        </is>
      </c>
      <c r="E3030">
        <f>HYPERLINK("http://gitlab.osmosys.co/tp/tp360", "TP360")</f>
        <v/>
      </c>
      <c r="F3030">
        <f>HYPERLINK("http://gitlab.osmosys.co/tp/tp360/-/merge_requests/2987", "Issue: Fix Copy Property in Quick Placement block")</f>
        <v/>
      </c>
      <c r="G3030" t="inlineStr">
        <is>
          <t>cherry-pick-db63cbae</t>
        </is>
      </c>
      <c r="H3030" t="inlineStr">
        <is>
          <t>Staging_Development</t>
        </is>
      </c>
      <c r="I3030" t="inlineStr">
        <is>
          <t>merged</t>
        </is>
      </c>
      <c r="J3030" t="inlineStr"/>
      <c r="K3030" t="inlineStr"/>
      <c r="L3030" t="inlineStr"/>
      <c r="M3030" t="inlineStr"/>
      <c r="N3030" t="inlineStr"/>
      <c r="O3030" t="inlineStr"/>
      <c r="P3030" t="inlineStr"/>
      <c r="Q3030" t="inlineStr"/>
    </row>
    <row r="3031">
      <c r="A3031" t="inlineStr">
        <is>
          <t>soumi.b</t>
        </is>
      </c>
      <c r="B3031" t="inlineStr">
        <is>
          <t>Soumi Basak</t>
        </is>
      </c>
      <c r="C3031" t="inlineStr">
        <is>
          <t>soumi.b@osmosys.co</t>
        </is>
      </c>
      <c r="D3031" t="inlineStr">
        <is>
          <t>tp</t>
        </is>
      </c>
      <c r="E3031">
        <f>HYPERLINK("http://gitlab.osmosys.co/tp/tp360", "TP360")</f>
        <v/>
      </c>
      <c r="F3031">
        <f>HYPERLINK("http://gitlab.osmosys.co/tp/tp360/-/merge_requests/2985", "Fix issues in Core logic documents")</f>
        <v/>
      </c>
      <c r="G3031" t="inlineStr">
        <is>
          <t>cherry-pick-fca3abd1</t>
        </is>
      </c>
      <c r="H3031" t="inlineStr">
        <is>
          <t>PreTest_Development</t>
        </is>
      </c>
      <c r="I3031" t="inlineStr">
        <is>
          <t>merged</t>
        </is>
      </c>
      <c r="J3031" t="inlineStr"/>
      <c r="K3031" t="inlineStr"/>
      <c r="L3031" t="inlineStr"/>
      <c r="M3031" t="inlineStr"/>
      <c r="N3031" t="inlineStr"/>
      <c r="O3031" t="inlineStr"/>
      <c r="P3031" t="inlineStr"/>
      <c r="Q3031" t="inlineStr"/>
    </row>
    <row r="3032">
      <c r="A3032" t="inlineStr">
        <is>
          <t>soumi.b</t>
        </is>
      </c>
      <c r="B3032" t="inlineStr">
        <is>
          <t>Soumi Basak</t>
        </is>
      </c>
      <c r="C3032" t="inlineStr">
        <is>
          <t>soumi.b@osmosys.co</t>
        </is>
      </c>
      <c r="D3032" t="inlineStr">
        <is>
          <t>tp</t>
        </is>
      </c>
      <c r="E3032">
        <f>HYPERLINK("http://gitlab.osmosys.co/tp/tp360", "TP360")</f>
        <v/>
      </c>
      <c r="F3032">
        <f>HYPERLINK("http://gitlab.osmosys.co/tp/tp360/-/merge_requests/2984", "Fix issues in Core logic documents")</f>
        <v/>
      </c>
      <c r="G3032" t="inlineStr">
        <is>
          <t>issue/corelogic-documents</t>
        </is>
      </c>
      <c r="H3032" t="inlineStr">
        <is>
          <t>Staging_Development</t>
        </is>
      </c>
      <c r="I3032" t="inlineStr">
        <is>
          <t>merged</t>
        </is>
      </c>
      <c r="J3032" t="inlineStr"/>
      <c r="K3032" t="inlineStr"/>
      <c r="L3032" t="inlineStr"/>
      <c r="M3032" t="inlineStr"/>
      <c r="N3032" t="inlineStr"/>
      <c r="O3032" t="inlineStr"/>
      <c r="P3032" t="inlineStr"/>
      <c r="Q3032" t="inlineStr"/>
    </row>
    <row r="3033">
      <c r="A3033" t="inlineStr">
        <is>
          <t>soumi.b</t>
        </is>
      </c>
      <c r="B3033" t="inlineStr">
        <is>
          <t>Soumi Basak</t>
        </is>
      </c>
      <c r="C3033" t="inlineStr">
        <is>
          <t>soumi.b@osmosys.co</t>
        </is>
      </c>
      <c r="D3033" t="inlineStr">
        <is>
          <t>tp</t>
        </is>
      </c>
      <c r="E3033">
        <f>HYPERLINK("http://gitlab.osmosys.co/tp/tp360", "TP360")</f>
        <v/>
      </c>
      <c r="F3033">
        <f>HYPERLINK("http://gitlab.osmosys.co/tp/tp360/-/merge_requests/2983", "Issue: Fix issue of IsGuest value going wrong in Daily Rates")</f>
        <v/>
      </c>
      <c r="G3033" t="inlineStr">
        <is>
          <t>issue/daily-rate</t>
        </is>
      </c>
      <c r="H3033" t="inlineStr">
        <is>
          <t>PreTest_Development</t>
        </is>
      </c>
      <c r="I3033" t="inlineStr">
        <is>
          <t>merged</t>
        </is>
      </c>
      <c r="J3033" t="inlineStr"/>
      <c r="K3033" t="inlineStr"/>
      <c r="L3033" t="inlineStr"/>
      <c r="M3033" t="inlineStr"/>
      <c r="N3033" t="inlineStr"/>
      <c r="O3033" t="inlineStr"/>
      <c r="P3033" t="inlineStr"/>
      <c r="Q3033" t="inlineStr"/>
    </row>
    <row r="3034">
      <c r="A3034" t="inlineStr">
        <is>
          <t>soumi.b</t>
        </is>
      </c>
      <c r="B3034" t="inlineStr">
        <is>
          <t>Soumi Basak</t>
        </is>
      </c>
      <c r="C3034" t="inlineStr">
        <is>
          <t>soumi.b@osmosys.co</t>
        </is>
      </c>
      <c r="D3034" t="inlineStr">
        <is>
          <t>tp</t>
        </is>
      </c>
      <c r="E3034">
        <f>HYPERLINK("http://gitlab.osmosys.co/tp/tp360", "TP360")</f>
        <v/>
      </c>
      <c r="F3034">
        <f>HYPERLINK("http://gitlab.osmosys.co/tp/tp360/-/merge_requests/2982", "Issue : Update Alignment for agent notes")</f>
        <v/>
      </c>
      <c r="G3034" t="inlineStr">
        <is>
          <t>cherry-pick-a50a7c0c</t>
        </is>
      </c>
      <c r="H3034" t="inlineStr">
        <is>
          <t>Staging_Development</t>
        </is>
      </c>
      <c r="I3034" t="inlineStr">
        <is>
          <t>merged</t>
        </is>
      </c>
      <c r="J3034" t="inlineStr"/>
      <c r="K3034" t="inlineStr"/>
      <c r="L3034" t="inlineStr"/>
      <c r="M3034" t="inlineStr"/>
      <c r="N3034" t="inlineStr"/>
      <c r="O3034" t="inlineStr"/>
      <c r="P3034" t="inlineStr"/>
      <c r="Q3034" t="inlineStr"/>
    </row>
    <row r="3035">
      <c r="A3035" t="inlineStr">
        <is>
          <t>soumi.b</t>
        </is>
      </c>
      <c r="B3035" t="inlineStr">
        <is>
          <t>Soumi Basak</t>
        </is>
      </c>
      <c r="C3035" t="inlineStr">
        <is>
          <t>soumi.b@osmosys.co</t>
        </is>
      </c>
      <c r="D3035" t="inlineStr">
        <is>
          <t>tp</t>
        </is>
      </c>
      <c r="E3035">
        <f>HYPERLINK("http://gitlab.osmosys.co/tp/tp360", "TP360")</f>
        <v/>
      </c>
      <c r="F3035">
        <f>HYPERLINK("http://gitlab.osmosys.co/tp/tp360/-/merge_requests/2980", "Update the mapping for time to contact - time in core logic popup")</f>
        <v/>
      </c>
      <c r="G3035" t="inlineStr">
        <is>
          <t>cherry-pick-93747dcb</t>
        </is>
      </c>
      <c r="H3035" t="inlineStr">
        <is>
          <t>PreTest_Development</t>
        </is>
      </c>
      <c r="I3035" t="inlineStr">
        <is>
          <t>merged</t>
        </is>
      </c>
      <c r="J3035" t="inlineStr"/>
      <c r="K3035" t="inlineStr"/>
      <c r="L3035" t="inlineStr"/>
      <c r="M3035" t="inlineStr"/>
      <c r="N3035" t="inlineStr"/>
      <c r="O3035" t="inlineStr"/>
      <c r="P3035" t="inlineStr"/>
      <c r="Q3035" t="inlineStr"/>
    </row>
    <row r="3036">
      <c r="A3036" t="inlineStr">
        <is>
          <t>soumi.b</t>
        </is>
      </c>
      <c r="B3036" t="inlineStr">
        <is>
          <t>Soumi Basak</t>
        </is>
      </c>
      <c r="C3036" t="inlineStr">
        <is>
          <t>soumi.b@osmosys.co</t>
        </is>
      </c>
      <c r="D3036" t="inlineStr">
        <is>
          <t>tp</t>
        </is>
      </c>
      <c r="E3036">
        <f>HYPERLINK("http://gitlab.osmosys.co/tp/tp360", "TP360")</f>
        <v/>
      </c>
      <c r="F3036">
        <f>HYPERLINK("http://gitlab.osmosys.co/tp/tp360/-/merge_requests/2978", "17640 : Reduce the gap between the heading in agent notes")</f>
        <v/>
      </c>
      <c r="G3036" t="inlineStr">
        <is>
          <t>cherry-pick-b12c1dd9</t>
        </is>
      </c>
      <c r="H3036" t="inlineStr">
        <is>
          <t>Staging_Development</t>
        </is>
      </c>
      <c r="I3036" t="inlineStr">
        <is>
          <t>merged</t>
        </is>
      </c>
      <c r="J3036" t="inlineStr"/>
      <c r="K3036" t="inlineStr"/>
      <c r="L3036" t="inlineStr"/>
      <c r="M3036" t="inlineStr"/>
      <c r="N3036" t="inlineStr"/>
      <c r="O3036" t="inlineStr"/>
      <c r="P3036" t="inlineStr"/>
      <c r="Q3036" t="inlineStr"/>
    </row>
    <row r="3037">
      <c r="A3037" t="inlineStr">
        <is>
          <t>soumi.b</t>
        </is>
      </c>
      <c r="B3037" t="inlineStr">
        <is>
          <t>Soumi Basak</t>
        </is>
      </c>
      <c r="C3037" t="inlineStr">
        <is>
          <t>soumi.b@osmosys.co</t>
        </is>
      </c>
      <c r="D3037" t="inlineStr">
        <is>
          <t>tp</t>
        </is>
      </c>
      <c r="E3037">
        <f>HYPERLINK("http://gitlab.osmosys.co/tp/tp360", "TP360")</f>
        <v/>
      </c>
      <c r="F3037">
        <f>HYPERLINK("http://gitlab.osmosys.co/tp/tp360/-/merge_requests/2976", "Update the mapping for time to contact - time in core logic popup")</f>
        <v/>
      </c>
      <c r="G3037" t="inlineStr">
        <is>
          <t>dev/core-logic-time-to-contact</t>
        </is>
      </c>
      <c r="H3037" t="inlineStr">
        <is>
          <t>Staging_Development</t>
        </is>
      </c>
      <c r="I3037" t="inlineStr">
        <is>
          <t>merged</t>
        </is>
      </c>
      <c r="J3037" t="inlineStr"/>
      <c r="K3037" t="inlineStr"/>
      <c r="L3037" t="inlineStr"/>
      <c r="M3037" t="inlineStr"/>
      <c r="N3037" t="inlineStr"/>
      <c r="O3037" t="inlineStr"/>
      <c r="P3037" t="inlineStr"/>
      <c r="Q3037" t="inlineStr"/>
    </row>
    <row r="3038">
      <c r="A3038" t="inlineStr">
        <is>
          <t>soumi.b</t>
        </is>
      </c>
      <c r="B3038" t="inlineStr">
        <is>
          <t>Soumi Basak</t>
        </is>
      </c>
      <c r="C3038" t="inlineStr">
        <is>
          <t>soumi.b@osmosys.co</t>
        </is>
      </c>
      <c r="D3038" t="inlineStr">
        <is>
          <t>tp</t>
        </is>
      </c>
      <c r="E3038">
        <f>HYPERLINK("http://gitlab.osmosys.co/tp/tp360", "TP360")</f>
        <v/>
      </c>
      <c r="F3038">
        <f>HYPERLINK("http://gitlab.osmosys.co/tp/tp360/-/merge_requests/2972", "Restrict worksheet API call when no change is made")</f>
        <v/>
      </c>
      <c r="G3038" t="inlineStr">
        <is>
          <t>cherry-pick-9ab985b6-2</t>
        </is>
      </c>
      <c r="H3038" t="inlineStr">
        <is>
          <t>Staging_Development</t>
        </is>
      </c>
      <c r="I3038" t="inlineStr">
        <is>
          <t>merged</t>
        </is>
      </c>
      <c r="J3038" t="inlineStr"/>
      <c r="K3038" t="inlineStr"/>
      <c r="L3038" t="inlineStr"/>
      <c r="M3038" t="inlineStr"/>
      <c r="N3038" t="inlineStr"/>
      <c r="O3038" t="inlineStr"/>
      <c r="P3038" t="inlineStr"/>
      <c r="Q3038" t="inlineStr"/>
    </row>
    <row r="3039">
      <c r="A3039" t="inlineStr">
        <is>
          <t>soumi.b</t>
        </is>
      </c>
      <c r="B3039" t="inlineStr">
        <is>
          <t>Soumi Basak</t>
        </is>
      </c>
      <c r="C3039" t="inlineStr">
        <is>
          <t>soumi.b@osmosys.co</t>
        </is>
      </c>
      <c r="D3039" t="inlineStr">
        <is>
          <t>tp</t>
        </is>
      </c>
      <c r="E3039">
        <f>HYPERLINK("http://gitlab.osmosys.co/tp/tp360", "TP360")</f>
        <v/>
      </c>
      <c r="F3039">
        <f>HYPERLINK("http://gitlab.osmosys.co/tp/tp360/-/merge_requests/2971", "Implement formatter for date fields in Furniture block to render date fields as blank when the value is '01/01/1900'.")</f>
        <v/>
      </c>
      <c r="G3039" t="inlineStr">
        <is>
          <t>cherry-pick-8e12902b</t>
        </is>
      </c>
      <c r="H3039" t="inlineStr">
        <is>
          <t>Staging_Development</t>
        </is>
      </c>
      <c r="I3039" t="inlineStr">
        <is>
          <t>merged</t>
        </is>
      </c>
      <c r="J3039" t="inlineStr"/>
      <c r="K3039" t="inlineStr"/>
      <c r="L3039" t="inlineStr"/>
      <c r="M3039" t="inlineStr"/>
      <c r="N3039" t="inlineStr"/>
      <c r="O3039" t="inlineStr"/>
      <c r="P3039" t="inlineStr"/>
      <c r="Q3039" t="inlineStr"/>
    </row>
    <row r="3040">
      <c r="A3040" t="inlineStr">
        <is>
          <t>soumi.b</t>
        </is>
      </c>
      <c r="B3040" t="inlineStr">
        <is>
          <t>Soumi Basak</t>
        </is>
      </c>
      <c r="C3040" t="inlineStr">
        <is>
          <t>soumi.b@osmosys.co</t>
        </is>
      </c>
      <c r="D3040" t="inlineStr">
        <is>
          <t>tp</t>
        </is>
      </c>
      <c r="E3040">
        <f>HYPERLINK("http://gitlab.osmosys.co/tp/tp360", "TP360")</f>
        <v/>
      </c>
      <c r="F3040">
        <f>HYPERLINK("http://gitlab.osmosys.co/tp/tp360/-/merge_requests/2970", "Merge branch 'hot-fix/Coordinator-dropdown' into 'PreTest_Development'")</f>
        <v/>
      </c>
      <c r="G3040" t="inlineStr">
        <is>
          <t>Live_Bridge</t>
        </is>
      </c>
      <c r="H3040" t="inlineStr">
        <is>
          <t>Development</t>
        </is>
      </c>
      <c r="I3040" t="inlineStr">
        <is>
          <t>closed</t>
        </is>
      </c>
      <c r="J3040" t="inlineStr"/>
      <c r="K3040" t="inlineStr"/>
      <c r="L3040" t="inlineStr"/>
      <c r="M3040" t="inlineStr"/>
      <c r="N3040" t="inlineStr"/>
      <c r="O3040" t="inlineStr"/>
      <c r="P3040" t="inlineStr"/>
      <c r="Q3040" t="inlineStr"/>
    </row>
    <row r="3041">
      <c r="A3041" t="inlineStr">
        <is>
          <t>soumi.b</t>
        </is>
      </c>
      <c r="B3041" t="inlineStr">
        <is>
          <t>Soumi Basak</t>
        </is>
      </c>
      <c r="C3041" t="inlineStr">
        <is>
          <t>soumi.b@osmosys.co</t>
        </is>
      </c>
      <c r="D3041" t="inlineStr">
        <is>
          <t>tp</t>
        </is>
      </c>
      <c r="E3041">
        <f>HYPERLINK("http://gitlab.osmosys.co/tp/tp360", "TP360")</f>
        <v/>
      </c>
      <c r="F3041">
        <f>HYPERLINK("http://gitlab.osmosys.co/tp/tp360/-/merge_requests/2963", "16091: Create Email extraction extension worksheet")</f>
        <v/>
      </c>
      <c r="G3041" t="inlineStr">
        <is>
          <t>dev/email-extraction-extension-worksheet</t>
        </is>
      </c>
      <c r="H3041" t="inlineStr">
        <is>
          <t>PreTest_Development</t>
        </is>
      </c>
      <c r="I3041" t="inlineStr">
        <is>
          <t>merged</t>
        </is>
      </c>
      <c r="J3041" t="inlineStr"/>
      <c r="K3041" t="inlineStr"/>
      <c r="L3041" t="inlineStr"/>
      <c r="M3041" t="inlineStr"/>
      <c r="N3041" t="inlineStr"/>
      <c r="O3041" t="inlineStr"/>
      <c r="P3041" t="inlineStr"/>
      <c r="Q3041" t="inlineStr"/>
    </row>
    <row r="3042">
      <c r="A3042" t="inlineStr">
        <is>
          <t>soumi.b</t>
        </is>
      </c>
      <c r="B3042" t="inlineStr">
        <is>
          <t>Soumi Basak</t>
        </is>
      </c>
      <c r="C3042" t="inlineStr">
        <is>
          <t>soumi.b@osmosys.co</t>
        </is>
      </c>
      <c r="D3042" t="inlineStr">
        <is>
          <t>tp</t>
        </is>
      </c>
      <c r="E3042">
        <f>HYPERLINK("http://gitlab.osmosys.co/tp/tp360", "TP360")</f>
        <v/>
      </c>
      <c r="F3042">
        <f>HYPERLINK("http://gitlab.osmosys.co/tp/tp360/-/merge_requests/2960", "Move Staging_Development code into Live_Bridge")</f>
        <v/>
      </c>
      <c r="G3042" t="inlineStr">
        <is>
          <t>Staging_Development</t>
        </is>
      </c>
      <c r="H3042" t="inlineStr">
        <is>
          <t>Live_Bridge</t>
        </is>
      </c>
      <c r="I3042" t="inlineStr">
        <is>
          <t>merged</t>
        </is>
      </c>
      <c r="J3042" t="inlineStr"/>
      <c r="K3042" t="inlineStr"/>
      <c r="L3042" t="inlineStr"/>
      <c r="M3042" t="inlineStr"/>
      <c r="N3042" t="inlineStr"/>
      <c r="O3042" t="inlineStr"/>
      <c r="P3042" t="inlineStr"/>
      <c r="Q3042" t="inlineStr"/>
    </row>
    <row r="3043">
      <c r="A3043" t="inlineStr">
        <is>
          <t>soumi.b</t>
        </is>
      </c>
      <c r="B3043" t="inlineStr">
        <is>
          <t>Soumi Basak</t>
        </is>
      </c>
      <c r="C3043" t="inlineStr">
        <is>
          <t>soumi.b@osmosys.co</t>
        </is>
      </c>
      <c r="D3043" t="inlineStr">
        <is>
          <t>tp</t>
        </is>
      </c>
      <c r="E3043">
        <f>HYPERLINK("http://gitlab.osmosys.co/tp/tp360", "TP360")</f>
        <v/>
      </c>
      <c r="F3043">
        <f>HYPERLINK("http://gitlab.osmosys.co/tp/tp360/-/merge_requests/2959", "Update test 11 jul")</f>
        <v/>
      </c>
      <c r="G3043" t="inlineStr">
        <is>
          <t>update-test-11-jul</t>
        </is>
      </c>
      <c r="H3043" t="inlineStr">
        <is>
          <t>Staging_Development</t>
        </is>
      </c>
      <c r="I3043" t="inlineStr">
        <is>
          <t>closed</t>
        </is>
      </c>
      <c r="J3043" t="inlineStr"/>
      <c r="K3043" t="inlineStr"/>
      <c r="L3043" t="inlineStr"/>
      <c r="M3043" t="inlineStr"/>
      <c r="N3043" t="inlineStr"/>
      <c r="O3043" t="inlineStr"/>
      <c r="P3043" t="inlineStr"/>
      <c r="Q3043" t="inlineStr"/>
    </row>
    <row r="3044">
      <c r="A3044" t="inlineStr">
        <is>
          <t>soumi.b</t>
        </is>
      </c>
      <c r="B3044" t="inlineStr">
        <is>
          <t>Soumi Basak</t>
        </is>
      </c>
      <c r="C3044" t="inlineStr">
        <is>
          <t>soumi.b@osmosys.co</t>
        </is>
      </c>
      <c r="D3044" t="inlineStr">
        <is>
          <t>tp</t>
        </is>
      </c>
      <c r="E3044">
        <f>HYPERLINK("http://gitlab.osmosys.co/tp/tp360", "TP360")</f>
        <v/>
      </c>
      <c r="F3044">
        <f>HYPERLINK("http://gitlab.osmosys.co/tp/tp360/-/merge_requests/2958", "Fix preferences sorting issue in INS Hotel Pending worksheet")</f>
        <v/>
      </c>
      <c r="G3044" t="inlineStr">
        <is>
          <t>cherry-pick-fe32d3ca</t>
        </is>
      </c>
      <c r="H3044" t="inlineStr">
        <is>
          <t>Staging_Development</t>
        </is>
      </c>
      <c r="I3044" t="inlineStr">
        <is>
          <t>merged</t>
        </is>
      </c>
      <c r="J3044" t="inlineStr"/>
      <c r="K3044" t="inlineStr"/>
      <c r="L3044" t="inlineStr"/>
      <c r="M3044" t="inlineStr"/>
      <c r="N3044" t="inlineStr"/>
      <c r="O3044" t="inlineStr"/>
      <c r="P3044" t="inlineStr"/>
      <c r="Q3044" t="inlineStr"/>
    </row>
    <row r="3045">
      <c r="A3045" t="inlineStr">
        <is>
          <t>soumi.b</t>
        </is>
      </c>
      <c r="B3045" t="inlineStr">
        <is>
          <t>Soumi Basak</t>
        </is>
      </c>
      <c r="C3045" t="inlineStr">
        <is>
          <t>soumi.b@osmosys.co</t>
        </is>
      </c>
      <c r="D3045" t="inlineStr">
        <is>
          <t>tp</t>
        </is>
      </c>
      <c r="E3045">
        <f>HYPERLINK("http://gitlab.osmosys.co/tp/tp360", "TP360")</f>
        <v/>
      </c>
      <c r="F3045">
        <f>HYPERLINK("http://gitlab.osmosys.co/tp/tp360/-/merge_requests/2954", "Fix issue of reservation in referral side")</f>
        <v/>
      </c>
      <c r="G3045" t="inlineStr">
        <is>
          <t>cherry-pick-db0579e4</t>
        </is>
      </c>
      <c r="H3045" t="inlineStr">
        <is>
          <t>Staging_Development</t>
        </is>
      </c>
      <c r="I3045" t="inlineStr">
        <is>
          <t>merged</t>
        </is>
      </c>
      <c r="J3045" t="inlineStr"/>
      <c r="K3045" t="inlineStr"/>
      <c r="L3045" t="inlineStr"/>
      <c r="M3045" t="inlineStr"/>
      <c r="N3045" t="inlineStr"/>
      <c r="O3045" t="inlineStr"/>
      <c r="P3045" t="inlineStr"/>
      <c r="Q3045" t="inlineStr"/>
    </row>
    <row r="3046">
      <c r="A3046" t="inlineStr">
        <is>
          <t>soumi.b</t>
        </is>
      </c>
      <c r="B3046" t="inlineStr">
        <is>
          <t>Soumi Basak</t>
        </is>
      </c>
      <c r="C3046" t="inlineStr">
        <is>
          <t>soumi.b@osmosys.co</t>
        </is>
      </c>
      <c r="D3046" t="inlineStr">
        <is>
          <t>tp</t>
        </is>
      </c>
      <c r="E3046">
        <f>HYPERLINK("http://gitlab.osmosys.co/tp/tp360", "TP360")</f>
        <v/>
      </c>
      <c r="F3046">
        <f>HYPERLINK("http://gitlab.osmosys.co/tp/tp360/-/merge_requests/2952", "Implement formatter for date fields in Furniture block to render date fields as blank when the value is '01/01/1900'.")</f>
        <v/>
      </c>
      <c r="G3046" t="inlineStr">
        <is>
          <t>dev/cc-furniture-block-date-format</t>
        </is>
      </c>
      <c r="H3046" t="inlineStr">
        <is>
          <t>PreTest_Development</t>
        </is>
      </c>
      <c r="I3046" t="inlineStr">
        <is>
          <t>merged</t>
        </is>
      </c>
      <c r="J3046" t="inlineStr"/>
      <c r="K3046" t="inlineStr"/>
      <c r="L3046" t="inlineStr"/>
      <c r="M3046" t="inlineStr"/>
      <c r="N3046" t="inlineStr"/>
      <c r="O3046" t="inlineStr"/>
      <c r="P3046" t="inlineStr"/>
      <c r="Q3046" t="inlineStr"/>
    </row>
    <row r="3047">
      <c r="A3047" t="inlineStr">
        <is>
          <t>soumi.b</t>
        </is>
      </c>
      <c r="B3047" t="inlineStr">
        <is>
          <t>Soumi Basak</t>
        </is>
      </c>
      <c r="C3047" t="inlineStr">
        <is>
          <t>soumi.b@osmosys.co</t>
        </is>
      </c>
      <c r="D3047" t="inlineStr">
        <is>
          <t>tp</t>
        </is>
      </c>
      <c r="E3047">
        <f>HYPERLINK("http://gitlab.osmosys.co/tp/tp360", "TP360")</f>
        <v/>
      </c>
      <c r="F3047">
        <f>HYPERLINK("http://gitlab.osmosys.co/tp/tp360/-/merge_requests/2951", "Update environment config with live API URLs")</f>
        <v/>
      </c>
      <c r="G3047" t="inlineStr">
        <is>
          <t>dev/live-configs</t>
        </is>
      </c>
      <c r="H3047" t="inlineStr">
        <is>
          <t>Live_Bridge</t>
        </is>
      </c>
      <c r="I3047" t="inlineStr">
        <is>
          <t>opened</t>
        </is>
      </c>
      <c r="J3047" t="inlineStr"/>
      <c r="K3047" t="inlineStr"/>
      <c r="L3047" t="inlineStr"/>
      <c r="M3047" t="inlineStr"/>
      <c r="N3047" t="inlineStr"/>
      <c r="O3047" t="inlineStr"/>
      <c r="P3047" t="inlineStr"/>
      <c r="Q3047" t="inlineStr"/>
    </row>
    <row r="3048">
      <c r="A3048" t="inlineStr">
        <is>
          <t>soumi.b</t>
        </is>
      </c>
      <c r="B3048" t="inlineStr">
        <is>
          <t>Soumi Basak</t>
        </is>
      </c>
      <c r="C3048" t="inlineStr">
        <is>
          <t>soumi.b@osmosys.co</t>
        </is>
      </c>
      <c r="D3048" t="inlineStr">
        <is>
          <t>tp</t>
        </is>
      </c>
      <c r="E3048">
        <f>HYPERLINK("http://gitlab.osmosys.co/tp/tp360", "TP360")</f>
        <v/>
      </c>
      <c r="F3048">
        <f>HYPERLINK("http://gitlab.osmosys.co/tp/tp360/-/merge_requests/2948", "Fix issue of reservation in referral side")</f>
        <v/>
      </c>
      <c r="G3048" t="inlineStr">
        <is>
          <t>issue/reservation-referral</t>
        </is>
      </c>
      <c r="H3048" t="inlineStr">
        <is>
          <t>PreTest_Development</t>
        </is>
      </c>
      <c r="I3048" t="inlineStr">
        <is>
          <t>merged</t>
        </is>
      </c>
      <c r="J3048" t="inlineStr"/>
      <c r="K3048" t="inlineStr"/>
      <c r="L3048" t="inlineStr"/>
      <c r="M3048" t="inlineStr"/>
      <c r="N3048" t="inlineStr"/>
      <c r="O3048" t="inlineStr"/>
      <c r="P3048" t="inlineStr"/>
      <c r="Q3048" t="inlineStr"/>
    </row>
    <row r="3049">
      <c r="A3049" t="inlineStr">
        <is>
          <t>soumi.b</t>
        </is>
      </c>
      <c r="B3049" t="inlineStr">
        <is>
          <t>Soumi Basak</t>
        </is>
      </c>
      <c r="C3049" t="inlineStr">
        <is>
          <t>soumi.b@osmosys.co</t>
        </is>
      </c>
      <c r="D3049" t="inlineStr">
        <is>
          <t>tp</t>
        </is>
      </c>
      <c r="E3049">
        <f>HYPERLINK("http://gitlab.osmosys.co/tp/tp360", "TP360")</f>
        <v/>
      </c>
      <c r="F3049">
        <f>HYPERLINK("http://gitlab.osmosys.co/tp/tp360/-/merge_requests/2947", "Add Assigned to, Resolved by, Que fields in the support ticket popup")</f>
        <v/>
      </c>
      <c r="G3049" t="inlineStr">
        <is>
          <t>dev/support-ticket-que</t>
        </is>
      </c>
      <c r="H3049" t="inlineStr">
        <is>
          <t>PreTest_Development</t>
        </is>
      </c>
      <c r="I3049" t="inlineStr">
        <is>
          <t>merged</t>
        </is>
      </c>
      <c r="J3049" t="inlineStr"/>
      <c r="K3049" t="inlineStr"/>
      <c r="L3049" t="inlineStr"/>
      <c r="M3049" t="inlineStr"/>
      <c r="N3049" t="inlineStr"/>
      <c r="O3049" t="inlineStr"/>
      <c r="P3049" t="inlineStr"/>
      <c r="Q3049" t="inlineStr"/>
    </row>
    <row r="3050">
      <c r="A3050" t="inlineStr">
        <is>
          <t>soumi.b</t>
        </is>
      </c>
      <c r="B3050" t="inlineStr">
        <is>
          <t>Soumi Basak</t>
        </is>
      </c>
      <c r="C3050" t="inlineStr">
        <is>
          <t>soumi.b@osmosys.co</t>
        </is>
      </c>
      <c r="D3050" t="inlineStr">
        <is>
          <t>tp</t>
        </is>
      </c>
      <c r="E3050">
        <f>HYPERLINK("http://gitlab.osmosys.co/tp/tp360", "TP360")</f>
        <v/>
      </c>
      <c r="F3050">
        <f>HYPERLINK("http://gitlab.osmosys.co/tp/tp360/-/merge_requests/2946", "Final reservation issue after deployment")</f>
        <v/>
      </c>
      <c r="G3050" t="inlineStr">
        <is>
          <t>issue/final-reservation</t>
        </is>
      </c>
      <c r="H3050" t="inlineStr">
        <is>
          <t>Staging_Development</t>
        </is>
      </c>
      <c r="I3050" t="inlineStr">
        <is>
          <t>closed</t>
        </is>
      </c>
      <c r="J3050" t="inlineStr"/>
      <c r="K3050" t="inlineStr"/>
      <c r="L3050" t="inlineStr"/>
      <c r="M3050" t="inlineStr"/>
      <c r="N3050" t="inlineStr"/>
      <c r="O3050" t="inlineStr"/>
      <c r="P3050" t="inlineStr"/>
      <c r="Q3050" t="inlineStr"/>
    </row>
    <row r="3051">
      <c r="A3051" t="inlineStr">
        <is>
          <t>soumi.b</t>
        </is>
      </c>
      <c r="B3051" t="inlineStr">
        <is>
          <t>Soumi Basak</t>
        </is>
      </c>
      <c r="C3051" t="inlineStr">
        <is>
          <t>soumi.b@osmosys.co</t>
        </is>
      </c>
      <c r="D3051" t="inlineStr">
        <is>
          <t>tp</t>
        </is>
      </c>
      <c r="E3051">
        <f>HYPERLINK("http://gitlab.osmosys.co/tp/tp360", "TP360")</f>
        <v/>
      </c>
      <c r="F3051">
        <f>HYPERLINK("http://gitlab.osmosys.co/tp/tp360/-/merge_requests/2943", "Set received date and time to current date time when changing division type in data entry")</f>
        <v/>
      </c>
      <c r="G3051" t="inlineStr">
        <is>
          <t>cherry-pick-6b2b4671</t>
        </is>
      </c>
      <c r="H3051" t="inlineStr">
        <is>
          <t>Staging_Development</t>
        </is>
      </c>
      <c r="I3051" t="inlineStr">
        <is>
          <t>merged</t>
        </is>
      </c>
      <c r="J3051" t="inlineStr"/>
      <c r="K3051" t="inlineStr"/>
      <c r="L3051" t="inlineStr"/>
      <c r="M3051" t="inlineStr"/>
      <c r="N3051" t="inlineStr"/>
      <c r="O3051" t="inlineStr"/>
      <c r="P3051" t="inlineStr"/>
      <c r="Q3051" t="inlineStr"/>
    </row>
    <row r="3052">
      <c r="A3052" t="inlineStr">
        <is>
          <t>soumi.b</t>
        </is>
      </c>
      <c r="B3052" t="inlineStr">
        <is>
          <t>Soumi Basak</t>
        </is>
      </c>
      <c r="C3052" t="inlineStr">
        <is>
          <t>soumi.b@osmosys.co</t>
        </is>
      </c>
      <c r="D3052" t="inlineStr">
        <is>
          <t>tp</t>
        </is>
      </c>
      <c r="E3052">
        <f>HYPERLINK("http://gitlab.osmosys.co/tp/tp360", "TP360")</f>
        <v/>
      </c>
      <c r="F3052">
        <f>HYPERLINK("http://gitlab.osmosys.co/tp/tp360/-/merge_requests/2939", "Set ReceivedDate to current date and time in full input, quick input and date-entry")</f>
        <v/>
      </c>
      <c r="G3052" t="inlineStr">
        <is>
          <t>cherry-pick-b6328f22</t>
        </is>
      </c>
      <c r="H3052" t="inlineStr">
        <is>
          <t>Staging_Development</t>
        </is>
      </c>
      <c r="I3052" t="inlineStr">
        <is>
          <t>merged</t>
        </is>
      </c>
      <c r="J3052" t="inlineStr"/>
      <c r="K3052" t="inlineStr"/>
      <c r="L3052" t="inlineStr"/>
      <c r="M3052" t="inlineStr"/>
      <c r="N3052" t="inlineStr"/>
      <c r="O3052" t="inlineStr"/>
      <c r="P3052" t="inlineStr"/>
      <c r="Q3052" t="inlineStr"/>
    </row>
    <row r="3053">
      <c r="A3053" t="inlineStr">
        <is>
          <t>soumi.b</t>
        </is>
      </c>
      <c r="B3053" t="inlineStr">
        <is>
          <t>Soumi Basak</t>
        </is>
      </c>
      <c r="C3053" t="inlineStr">
        <is>
          <t>soumi.b@osmosys.co</t>
        </is>
      </c>
      <c r="D3053" t="inlineStr">
        <is>
          <t>tp</t>
        </is>
      </c>
      <c r="E3053">
        <f>HYPERLINK("http://gitlab.osmosys.co/tp/tp360", "TP360")</f>
        <v/>
      </c>
      <c r="F3053">
        <f>HYPERLINK("http://gitlab.osmosys.co/tp/tp360/-/merge_requests/2938", "Fix issue of invoice popup not opening in Hotel commission worksheet")</f>
        <v/>
      </c>
      <c r="G3053" t="inlineStr">
        <is>
          <t>issue/send-generate-invoice</t>
        </is>
      </c>
      <c r="H3053" t="inlineStr">
        <is>
          <t>Staging_Development</t>
        </is>
      </c>
      <c r="I3053" t="inlineStr">
        <is>
          <t>merged</t>
        </is>
      </c>
      <c r="J3053" t="inlineStr"/>
      <c r="K3053" t="inlineStr"/>
      <c r="L3053" t="inlineStr"/>
      <c r="M3053" t="inlineStr"/>
      <c r="N3053" t="inlineStr"/>
      <c r="O3053" t="inlineStr"/>
      <c r="P3053" t="inlineStr"/>
      <c r="Q3053" t="inlineStr"/>
    </row>
    <row r="3054">
      <c r="A3054" t="inlineStr">
        <is>
          <t>soumi.b</t>
        </is>
      </c>
      <c r="B3054" t="inlineStr">
        <is>
          <t>Soumi Basak</t>
        </is>
      </c>
      <c r="C3054" t="inlineStr">
        <is>
          <t>soumi.b@osmosys.co</t>
        </is>
      </c>
      <c r="D3054" t="inlineStr">
        <is>
          <t>tp</t>
        </is>
      </c>
      <c r="E3054">
        <f>HYPERLINK("http://gitlab.osmosys.co/tp/tp360", "TP360")</f>
        <v/>
      </c>
      <c r="F3054">
        <f>HYPERLINK("http://gitlab.osmosys.co/tp/tp360/-/merge_requests/2936", "13320: Update Received date time with the day/time the user click the button to create a new stay")</f>
        <v/>
      </c>
      <c r="G3054" t="inlineStr">
        <is>
          <t>cherry-pick-f9ed317d</t>
        </is>
      </c>
      <c r="H3054" t="inlineStr">
        <is>
          <t>Staging_Development</t>
        </is>
      </c>
      <c r="I3054" t="inlineStr">
        <is>
          <t>merged</t>
        </is>
      </c>
      <c r="J3054" t="inlineStr"/>
      <c r="K3054" t="inlineStr"/>
      <c r="L3054" t="inlineStr"/>
      <c r="M3054" t="inlineStr"/>
      <c r="N3054" t="inlineStr"/>
      <c r="O3054" t="inlineStr"/>
      <c r="P3054" t="inlineStr"/>
      <c r="Q3054" t="inlineStr"/>
    </row>
    <row r="3055">
      <c r="A3055" t="inlineStr">
        <is>
          <t>soumi.b</t>
        </is>
      </c>
      <c r="B3055" t="inlineStr">
        <is>
          <t>Soumi Basak</t>
        </is>
      </c>
      <c r="C3055" t="inlineStr">
        <is>
          <t>soumi.b@osmosys.co</t>
        </is>
      </c>
      <c r="D3055" t="inlineStr">
        <is>
          <t>tp</t>
        </is>
      </c>
      <c r="E3055">
        <f>HYPERLINK("http://gitlab.osmosys.co/tp/tp360", "TP360")</f>
        <v/>
      </c>
      <c r="F3055">
        <f>HYPERLINK("http://gitlab.osmosys.co/tp/tp360/-/merge_requests/2935", "Fix issue of Invoice not downloading in Adjuster block")</f>
        <v/>
      </c>
      <c r="G3055" t="inlineStr">
        <is>
          <t>issue/adjuster-invoice-download</t>
        </is>
      </c>
      <c r="H3055" t="inlineStr">
        <is>
          <t>Staging_Development</t>
        </is>
      </c>
      <c r="I3055" t="inlineStr">
        <is>
          <t>merged</t>
        </is>
      </c>
      <c r="J3055" t="inlineStr"/>
      <c r="K3055" t="inlineStr"/>
      <c r="L3055" t="inlineStr"/>
      <c r="M3055" t="inlineStr"/>
      <c r="N3055" t="inlineStr"/>
      <c r="O3055" t="inlineStr"/>
      <c r="P3055" t="inlineStr"/>
      <c r="Q3055" t="inlineStr"/>
    </row>
    <row r="3056">
      <c r="A3056" t="inlineStr">
        <is>
          <t>soumi.b</t>
        </is>
      </c>
      <c r="B3056" t="inlineStr">
        <is>
          <t>Soumi Basak</t>
        </is>
      </c>
      <c r="C3056" t="inlineStr">
        <is>
          <t>soumi.b@osmosys.co</t>
        </is>
      </c>
      <c r="D3056" t="inlineStr">
        <is>
          <t>tp</t>
        </is>
      </c>
      <c r="E3056">
        <f>HYPERLINK("http://gitlab.osmosys.co/tp/tp360", "TP360")</f>
        <v/>
      </c>
      <c r="F3056">
        <f>HYPERLINK("http://gitlab.osmosys.co/tp/tp360/-/merge_requests/2933", "9543 : Add hotel charge id param for charges section")</f>
        <v/>
      </c>
      <c r="G3056" t="inlineStr">
        <is>
          <t>cherry-pick-da950601</t>
        </is>
      </c>
      <c r="H3056" t="inlineStr">
        <is>
          <t>Staging_Development</t>
        </is>
      </c>
      <c r="I3056" t="inlineStr">
        <is>
          <t>merged</t>
        </is>
      </c>
      <c r="J3056" t="inlineStr"/>
      <c r="K3056" t="inlineStr"/>
      <c r="L3056" t="inlineStr"/>
      <c r="M3056" t="inlineStr"/>
      <c r="N3056" t="inlineStr"/>
      <c r="O3056" t="inlineStr"/>
      <c r="P3056" t="inlineStr"/>
      <c r="Q3056" t="inlineStr"/>
    </row>
    <row r="3057">
      <c r="A3057" t="inlineStr">
        <is>
          <t>soumi.b</t>
        </is>
      </c>
      <c r="B3057" t="inlineStr">
        <is>
          <t>Soumi Basak</t>
        </is>
      </c>
      <c r="C3057" t="inlineStr">
        <is>
          <t>soumi.b@osmosys.co</t>
        </is>
      </c>
      <c r="D3057" t="inlineStr">
        <is>
          <t>tp</t>
        </is>
      </c>
      <c r="E3057">
        <f>HYPERLINK("http://gitlab.osmosys.co/tp/tp360", "TP360")</f>
        <v/>
      </c>
      <c r="F3057">
        <f>HYPERLINK("http://gitlab.osmosys.co/tp/tp360/-/merge_requests/2932", "17482: Fix auto extension issue in referral side")</f>
        <v/>
      </c>
      <c r="G3057" t="inlineStr">
        <is>
          <t>cherry-pick-18118ff5</t>
        </is>
      </c>
      <c r="H3057" t="inlineStr">
        <is>
          <t>Staging_Development</t>
        </is>
      </c>
      <c r="I3057" t="inlineStr">
        <is>
          <t>merged</t>
        </is>
      </c>
      <c r="J3057" t="inlineStr"/>
      <c r="K3057" t="inlineStr"/>
      <c r="L3057" t="inlineStr"/>
      <c r="M3057" t="inlineStr"/>
      <c r="N3057" t="inlineStr"/>
      <c r="O3057" t="inlineStr"/>
      <c r="P3057" t="inlineStr"/>
      <c r="Q3057" t="inlineStr"/>
    </row>
    <row r="3058">
      <c r="A3058" t="inlineStr">
        <is>
          <t>soumi.b</t>
        </is>
      </c>
      <c r="B3058" t="inlineStr">
        <is>
          <t>Soumi Basak</t>
        </is>
      </c>
      <c r="C3058" t="inlineStr">
        <is>
          <t>soumi.b@osmosys.co</t>
        </is>
      </c>
      <c r="D3058" t="inlineStr">
        <is>
          <t>tp</t>
        </is>
      </c>
      <c r="E3058">
        <f>HYPERLINK("http://gitlab.osmosys.co/tp/tp360", "TP360")</f>
        <v/>
      </c>
      <c r="F3058">
        <f>HYPERLINK("http://gitlab.osmosys.co/tp/tp360/-/merge_requests/2931", "17124: Display support worksheet 'Summary' for Timothy")</f>
        <v/>
      </c>
      <c r="G3058" t="inlineStr">
        <is>
          <t>cherry-pick-0b6d3d45</t>
        </is>
      </c>
      <c r="H3058" t="inlineStr">
        <is>
          <t>Staging_Development</t>
        </is>
      </c>
      <c r="I3058" t="inlineStr">
        <is>
          <t>merged</t>
        </is>
      </c>
      <c r="J3058" t="inlineStr"/>
      <c r="K3058" t="inlineStr"/>
      <c r="L3058" t="inlineStr"/>
      <c r="M3058" t="inlineStr"/>
      <c r="N3058" t="inlineStr"/>
      <c r="O3058" t="inlineStr"/>
      <c r="P3058" t="inlineStr"/>
      <c r="Q3058" t="inlineStr"/>
    </row>
    <row r="3059">
      <c r="A3059" t="inlineStr">
        <is>
          <t>soumi.b</t>
        </is>
      </c>
      <c r="B3059" t="inlineStr">
        <is>
          <t>Soumi Basak</t>
        </is>
      </c>
      <c r="C3059" t="inlineStr">
        <is>
          <t>soumi.b@osmosys.co</t>
        </is>
      </c>
      <c r="D3059" t="inlineStr">
        <is>
          <t>tp</t>
        </is>
      </c>
      <c r="E3059">
        <f>HYPERLINK("http://gitlab.osmosys.co/tp/tp360", "TP360")</f>
        <v/>
      </c>
      <c r="F3059">
        <f>HYPERLINK("http://gitlab.osmosys.co/tp/tp360/-/merge_requests/2930", "17124: Display support worksheet 'Summary' for Timothy")</f>
        <v/>
      </c>
      <c r="G3059" t="inlineStr">
        <is>
          <t>dev/summary-btn-acc</t>
        </is>
      </c>
      <c r="H3059" t="inlineStr">
        <is>
          <t>PreTest_Development</t>
        </is>
      </c>
      <c r="I3059" t="inlineStr">
        <is>
          <t>merged</t>
        </is>
      </c>
      <c r="J3059" t="inlineStr"/>
      <c r="K3059" t="inlineStr"/>
      <c r="L3059" t="inlineStr"/>
      <c r="M3059" t="inlineStr"/>
      <c r="N3059" t="inlineStr"/>
      <c r="O3059" t="inlineStr"/>
      <c r="P3059" t="inlineStr"/>
      <c r="Q3059" t="inlineStr"/>
    </row>
    <row r="3060">
      <c r="A3060" t="inlineStr">
        <is>
          <t>soumi.b</t>
        </is>
      </c>
      <c r="B3060" t="inlineStr">
        <is>
          <t>Soumi Basak</t>
        </is>
      </c>
      <c r="C3060" t="inlineStr">
        <is>
          <t>soumi.b@osmosys.co</t>
        </is>
      </c>
      <c r="D3060" t="inlineStr">
        <is>
          <t>tp</t>
        </is>
      </c>
      <c r="E3060">
        <f>HYPERLINK("http://gitlab.osmosys.co/tp/tp360", "TP360")</f>
        <v/>
      </c>
      <c r="F3060">
        <f>HYPERLINK("http://gitlab.osmosys.co/tp/tp360/-/merge_requests/2929", "Revert "Merge branch 'cherry-pick-55b7bc41' into 'PreTest_Development'"")</f>
        <v/>
      </c>
      <c r="G3060" t="inlineStr">
        <is>
          <t>revert-68987d7e</t>
        </is>
      </c>
      <c r="H3060" t="inlineStr">
        <is>
          <t>PreTest_Development</t>
        </is>
      </c>
      <c r="I3060" t="inlineStr">
        <is>
          <t>merged</t>
        </is>
      </c>
      <c r="J3060" t="inlineStr"/>
      <c r="K3060" t="inlineStr"/>
      <c r="L3060" t="inlineStr"/>
      <c r="M3060" t="inlineStr"/>
      <c r="N3060" t="inlineStr"/>
      <c r="O3060" t="inlineStr"/>
      <c r="P3060" t="inlineStr"/>
      <c r="Q3060" t="inlineStr"/>
    </row>
    <row r="3061">
      <c r="A3061" t="inlineStr">
        <is>
          <t>soumi.b</t>
        </is>
      </c>
      <c r="B3061" t="inlineStr">
        <is>
          <t>Soumi Basak</t>
        </is>
      </c>
      <c r="C3061" t="inlineStr">
        <is>
          <t>soumi.b@osmosys.co</t>
        </is>
      </c>
      <c r="D3061" t="inlineStr">
        <is>
          <t>tp</t>
        </is>
      </c>
      <c r="E3061">
        <f>HYPERLINK("http://gitlab.osmosys.co/tp/tp360", "TP360")</f>
        <v/>
      </c>
      <c r="F3061">
        <f>HYPERLINK("http://gitlab.osmosys.co/tp/tp360/-/merge_requests/2928", "13803: Remove manager condition from Hotel Payment Processing Worksheet")</f>
        <v/>
      </c>
      <c r="G3061" t="inlineStr">
        <is>
          <t>cherry-pick-7a5cb3c0</t>
        </is>
      </c>
      <c r="H3061" t="inlineStr">
        <is>
          <t>Staging_Development</t>
        </is>
      </c>
      <c r="I3061" t="inlineStr">
        <is>
          <t>merged</t>
        </is>
      </c>
      <c r="J3061" t="inlineStr"/>
      <c r="K3061" t="inlineStr"/>
      <c r="L3061" t="inlineStr"/>
      <c r="M3061" t="inlineStr"/>
      <c r="N3061" t="inlineStr"/>
      <c r="O3061" t="inlineStr"/>
      <c r="P3061" t="inlineStr"/>
      <c r="Q3061" t="inlineStr"/>
    </row>
    <row r="3062">
      <c r="A3062" t="inlineStr">
        <is>
          <t>soumi.b</t>
        </is>
      </c>
      <c r="B3062" t="inlineStr">
        <is>
          <t>Soumi Basak</t>
        </is>
      </c>
      <c r="C3062" t="inlineStr">
        <is>
          <t>soumi.b@osmosys.co</t>
        </is>
      </c>
      <c r="D3062" t="inlineStr">
        <is>
          <t>tp</t>
        </is>
      </c>
      <c r="E3062">
        <f>HYPERLINK("http://gitlab.osmosys.co/tp/tp360", "TP360")</f>
        <v/>
      </c>
      <c r="F3062">
        <f>HYPERLINK("http://gitlab.osmosys.co/tp/tp360/-/merge_requests/2926", "FIx the issue of invoice not generating")</f>
        <v/>
      </c>
      <c r="G3062" t="inlineStr">
        <is>
          <t>issue/invoice-downloads</t>
        </is>
      </c>
      <c r="H3062" t="inlineStr">
        <is>
          <t>Staging_Development</t>
        </is>
      </c>
      <c r="I3062" t="inlineStr">
        <is>
          <t>merged</t>
        </is>
      </c>
      <c r="J3062" t="inlineStr"/>
      <c r="K3062" t="inlineStr"/>
      <c r="L3062" t="inlineStr"/>
      <c r="M3062" t="inlineStr"/>
      <c r="N3062" t="inlineStr"/>
      <c r="O3062" t="inlineStr"/>
      <c r="P3062" t="inlineStr"/>
      <c r="Q3062" t="inlineStr"/>
    </row>
    <row r="3063">
      <c r="A3063" t="inlineStr">
        <is>
          <t>soumi.b</t>
        </is>
      </c>
      <c r="B3063" t="inlineStr">
        <is>
          <t>Soumi Basak</t>
        </is>
      </c>
      <c r="C3063" t="inlineStr">
        <is>
          <t>soumi.b@osmosys.co</t>
        </is>
      </c>
      <c r="D3063" t="inlineStr">
        <is>
          <t>tp</t>
        </is>
      </c>
      <c r="E3063">
        <f>HYPERLINK("http://gitlab.osmosys.co/tp/tp360", "TP360")</f>
        <v/>
      </c>
      <c r="F3063">
        <f>HYPERLINK("http://gitlab.osmosys.co/tp/tp360/-/merge_requests/2925", "Fix issue of Add button in Contacts not disabling for inactive companies in referral side")</f>
        <v/>
      </c>
      <c r="G3063" t="inlineStr">
        <is>
          <t>issue/company-detail</t>
        </is>
      </c>
      <c r="H3063" t="inlineStr">
        <is>
          <t>PreTest_Development</t>
        </is>
      </c>
      <c r="I3063" t="inlineStr">
        <is>
          <t>merged</t>
        </is>
      </c>
      <c r="J3063" t="inlineStr"/>
      <c r="K3063" t="inlineStr"/>
      <c r="L3063" t="inlineStr"/>
      <c r="M3063" t="inlineStr"/>
      <c r="N3063" t="inlineStr"/>
      <c r="O3063" t="inlineStr"/>
      <c r="P3063" t="inlineStr"/>
      <c r="Q3063" t="inlineStr"/>
    </row>
    <row r="3064">
      <c r="A3064" t="inlineStr">
        <is>
          <t>soumi.b</t>
        </is>
      </c>
      <c r="B3064" t="inlineStr">
        <is>
          <t>Soumi Basak</t>
        </is>
      </c>
      <c r="C3064" t="inlineStr">
        <is>
          <t>soumi.b@osmosys.co</t>
        </is>
      </c>
      <c r="D3064" t="inlineStr">
        <is>
          <t>tp</t>
        </is>
      </c>
      <c r="E3064">
        <f>HYPERLINK("http://gitlab.osmosys.co/tp/tp360", "TP360")</f>
        <v/>
      </c>
      <c r="F3064">
        <f>HYPERLINK("http://gitlab.osmosys.co/tp/tp360/-/merge_requests/2924", "Draft: Fix issue of Documents not downloading")</f>
        <v/>
      </c>
      <c r="G3064" t="inlineStr">
        <is>
          <t>cherry-pick-27100e48</t>
        </is>
      </c>
      <c r="H3064" t="inlineStr">
        <is>
          <t>PreTest_Development</t>
        </is>
      </c>
      <c r="I3064" t="inlineStr">
        <is>
          <t>closed</t>
        </is>
      </c>
      <c r="J3064" t="inlineStr"/>
      <c r="K3064" t="inlineStr"/>
      <c r="L3064" t="inlineStr"/>
      <c r="M3064" t="inlineStr"/>
      <c r="N3064" t="inlineStr"/>
      <c r="O3064" t="inlineStr"/>
      <c r="P3064" t="inlineStr"/>
      <c r="Q3064" t="inlineStr"/>
    </row>
    <row r="3065">
      <c r="A3065" t="inlineStr">
        <is>
          <t>soumi.b</t>
        </is>
      </c>
      <c r="B3065" t="inlineStr">
        <is>
          <t>Soumi Basak</t>
        </is>
      </c>
      <c r="C3065" t="inlineStr">
        <is>
          <t>soumi.b@osmosys.co</t>
        </is>
      </c>
      <c r="D3065" t="inlineStr">
        <is>
          <t>tp</t>
        </is>
      </c>
      <c r="E3065">
        <f>HYPERLINK("http://gitlab.osmosys.co/tp/tp360", "TP360")</f>
        <v/>
      </c>
      <c r="F3065">
        <f>HYPERLINK("http://gitlab.osmosys.co/tp/tp360/-/merge_requests/2922", "Fix issue of Documents not downloading")</f>
        <v/>
      </c>
      <c r="G3065" t="inlineStr">
        <is>
          <t>issue/documents-download</t>
        </is>
      </c>
      <c r="H3065" t="inlineStr">
        <is>
          <t>Staging_Development</t>
        </is>
      </c>
      <c r="I3065" t="inlineStr">
        <is>
          <t>merged</t>
        </is>
      </c>
      <c r="J3065" t="inlineStr"/>
      <c r="K3065" t="inlineStr"/>
      <c r="L3065" t="inlineStr"/>
      <c r="M3065" t="inlineStr"/>
      <c r="N3065" t="inlineStr"/>
      <c r="O3065" t="inlineStr"/>
      <c r="P3065" t="inlineStr"/>
      <c r="Q3065" t="inlineStr"/>
    </row>
    <row r="3066">
      <c r="A3066" t="inlineStr">
        <is>
          <t>soumi.b</t>
        </is>
      </c>
      <c r="B3066" t="inlineStr">
        <is>
          <t>Soumi Basak</t>
        </is>
      </c>
      <c r="C3066" t="inlineStr">
        <is>
          <t>soumi.b@osmosys.co</t>
        </is>
      </c>
      <c r="D3066" t="inlineStr">
        <is>
          <t>tp</t>
        </is>
      </c>
      <c r="E3066">
        <f>HYPERLINK("http://gitlab.osmosys.co/tp/tp360", "TP360")</f>
        <v/>
      </c>
      <c r="F3066">
        <f>HYPERLINK("http://gitlab.osmosys.co/tp/tp360/-/merge_requests/2920", "13803: Update search box position and formatter for $0 in hotel payment processing worksheet.")</f>
        <v/>
      </c>
      <c r="G3066" t="inlineStr">
        <is>
          <t>cherry-pick-e123ed2e</t>
        </is>
      </c>
      <c r="H3066" t="inlineStr">
        <is>
          <t>Staging_Development</t>
        </is>
      </c>
      <c r="I3066" t="inlineStr">
        <is>
          <t>merged</t>
        </is>
      </c>
      <c r="J3066" t="inlineStr"/>
      <c r="K3066" t="inlineStr"/>
      <c r="L3066" t="inlineStr"/>
      <c r="M3066" t="inlineStr"/>
      <c r="N3066" t="inlineStr"/>
      <c r="O3066" t="inlineStr"/>
      <c r="P3066" t="inlineStr"/>
      <c r="Q3066" t="inlineStr"/>
    </row>
    <row r="3067">
      <c r="A3067" t="inlineStr">
        <is>
          <t>soumi.b</t>
        </is>
      </c>
      <c r="B3067" t="inlineStr">
        <is>
          <t>Soumi Basak</t>
        </is>
      </c>
      <c r="C3067" t="inlineStr">
        <is>
          <t>soumi.b@osmosys.co</t>
        </is>
      </c>
      <c r="D3067" t="inlineStr">
        <is>
          <t>tp</t>
        </is>
      </c>
      <c r="E3067">
        <f>HYPERLINK("http://gitlab.osmosys.co/tp/tp360", "TP360")</f>
        <v/>
      </c>
      <c r="F3067">
        <f>HYPERLINK("http://gitlab.osmosys.co/tp/tp360/-/merge_requests/2916", "16800: Disable the ability to create Adjuster for inactive companies")</f>
        <v/>
      </c>
      <c r="G3067" t="inlineStr">
        <is>
          <t>dev/restrict-contact-inactive</t>
        </is>
      </c>
      <c r="H3067" t="inlineStr">
        <is>
          <t>Staging_Development</t>
        </is>
      </c>
      <c r="I3067" t="inlineStr">
        <is>
          <t>merged</t>
        </is>
      </c>
      <c r="J3067" t="inlineStr"/>
      <c r="K3067" t="inlineStr"/>
      <c r="L3067" t="inlineStr"/>
      <c r="M3067" t="inlineStr"/>
      <c r="N3067" t="inlineStr"/>
      <c r="O3067" t="inlineStr"/>
      <c r="P3067" t="inlineStr"/>
      <c r="Q3067" t="inlineStr"/>
    </row>
    <row r="3068">
      <c r="A3068" t="inlineStr">
        <is>
          <t>soumi.b</t>
        </is>
      </c>
      <c r="B3068" t="inlineStr">
        <is>
          <t>Soumi Basak</t>
        </is>
      </c>
      <c r="C3068" t="inlineStr">
        <is>
          <t>soumi.b@osmosys.co</t>
        </is>
      </c>
      <c r="D3068" t="inlineStr">
        <is>
          <t>tp</t>
        </is>
      </c>
      <c r="E3068">
        <f>HYPERLINK("http://gitlab.osmosys.co/tp/tp360", "TP360")</f>
        <v/>
      </c>
      <c r="F3068">
        <f>HYPERLINK("http://gitlab.osmosys.co/tp/tp360/-/merge_requests/2914", "11794 : Send params whether the thd or clarcity fee is edited")</f>
        <v/>
      </c>
      <c r="G3068" t="inlineStr">
        <is>
          <t>cherry-pick-e2f8235d</t>
        </is>
      </c>
      <c r="H3068" t="inlineStr">
        <is>
          <t>Staging_Development</t>
        </is>
      </c>
      <c r="I3068" t="inlineStr">
        <is>
          <t>merged</t>
        </is>
      </c>
      <c r="J3068" t="inlineStr"/>
      <c r="K3068" t="inlineStr"/>
      <c r="L3068" t="inlineStr"/>
      <c r="M3068" t="inlineStr"/>
      <c r="N3068" t="inlineStr"/>
      <c r="O3068" t="inlineStr"/>
      <c r="P3068" t="inlineStr"/>
      <c r="Q3068" t="inlineStr"/>
    </row>
    <row r="3069">
      <c r="A3069" t="inlineStr">
        <is>
          <t>soumi.b</t>
        </is>
      </c>
      <c r="B3069" t="inlineStr">
        <is>
          <t>Soumi Basak</t>
        </is>
      </c>
      <c r="C3069" t="inlineStr">
        <is>
          <t>soumi.b@osmosys.co</t>
        </is>
      </c>
      <c r="D3069" t="inlineStr">
        <is>
          <t>tp</t>
        </is>
      </c>
      <c r="E3069">
        <f>HYPERLINK("http://gitlab.osmosys.co/tp/tp360", "TP360")</f>
        <v/>
      </c>
      <c r="F3069">
        <f>HYPERLINK("http://gitlab.osmosys.co/tp/tp360/-/merge_requests/2912", "15609: Remove the mandatory validation for Bedrooms field")</f>
        <v/>
      </c>
      <c r="G3069" t="inlineStr">
        <is>
          <t>cherry-pick-78683b0e</t>
        </is>
      </c>
      <c r="H3069" t="inlineStr">
        <is>
          <t>Staging_Development</t>
        </is>
      </c>
      <c r="I3069" t="inlineStr">
        <is>
          <t>merged</t>
        </is>
      </c>
      <c r="J3069" t="inlineStr"/>
      <c r="K3069" t="inlineStr"/>
      <c r="L3069" t="inlineStr"/>
      <c r="M3069" t="inlineStr"/>
      <c r="N3069" t="inlineStr"/>
      <c r="O3069" t="inlineStr"/>
      <c r="P3069" t="inlineStr"/>
      <c r="Q3069" t="inlineStr"/>
    </row>
    <row r="3070">
      <c r="A3070" t="inlineStr">
        <is>
          <t>soumi.b</t>
        </is>
      </c>
      <c r="B3070" t="inlineStr">
        <is>
          <t>Soumi Basak</t>
        </is>
      </c>
      <c r="C3070" t="inlineStr">
        <is>
          <t>soumi.b@osmosys.co</t>
        </is>
      </c>
      <c r="D3070" t="inlineStr">
        <is>
          <t>tp</t>
        </is>
      </c>
      <c r="E3070">
        <f>HYPERLINK("http://gitlab.osmosys.co/tp/tp360", "TP360")</f>
        <v/>
      </c>
      <c r="F3070">
        <f>HYPERLINK("http://gitlab.osmosys.co/tp/tp360/-/merge_requests/2911", "Add functionality to change the company for Adjuster in List view")</f>
        <v/>
      </c>
      <c r="G3070" t="inlineStr">
        <is>
          <t>cherry-pick-500dfd64</t>
        </is>
      </c>
      <c r="H3070" t="inlineStr">
        <is>
          <t>Staging_Development</t>
        </is>
      </c>
      <c r="I3070" t="inlineStr">
        <is>
          <t>merged</t>
        </is>
      </c>
      <c r="J3070" t="inlineStr"/>
      <c r="K3070" t="inlineStr"/>
      <c r="L3070" t="inlineStr"/>
      <c r="M3070" t="inlineStr"/>
      <c r="N3070" t="inlineStr"/>
      <c r="O3070" t="inlineStr"/>
      <c r="P3070" t="inlineStr"/>
      <c r="Q3070" t="inlineStr"/>
    </row>
    <row r="3071">
      <c r="A3071" t="inlineStr">
        <is>
          <t>soumi.b</t>
        </is>
      </c>
      <c r="B3071" t="inlineStr">
        <is>
          <t>Soumi Basak</t>
        </is>
      </c>
      <c r="C3071" t="inlineStr">
        <is>
          <t>soumi.b@osmosys.co</t>
        </is>
      </c>
      <c r="D3071" t="inlineStr">
        <is>
          <t>tp</t>
        </is>
      </c>
      <c r="E3071">
        <f>HYPERLINK("http://gitlab.osmosys.co/tp/tp360", "TP360")</f>
        <v/>
      </c>
      <c r="F3071">
        <f>HYPERLINK("http://gitlab.osmosys.co/tp/tp360/-/merge_requests/2909", "Fix invoice download issue")</f>
        <v/>
      </c>
      <c r="G3071" t="inlineStr">
        <is>
          <t>cherry-pick-55b7bc41</t>
        </is>
      </c>
      <c r="H3071" t="inlineStr">
        <is>
          <t>PreTest_Development</t>
        </is>
      </c>
      <c r="I3071" t="inlineStr">
        <is>
          <t>merged</t>
        </is>
      </c>
      <c r="J3071" t="inlineStr"/>
      <c r="K3071" t="inlineStr"/>
      <c r="L3071" t="inlineStr"/>
      <c r="M3071" t="inlineStr"/>
      <c r="N3071" t="inlineStr"/>
      <c r="O3071" t="inlineStr"/>
      <c r="P3071" t="inlineStr"/>
      <c r="Q3071" t="inlineStr"/>
    </row>
    <row r="3072">
      <c r="A3072" t="inlineStr">
        <is>
          <t>soumi.b</t>
        </is>
      </c>
      <c r="B3072" t="inlineStr">
        <is>
          <t>Soumi Basak</t>
        </is>
      </c>
      <c r="C3072" t="inlineStr">
        <is>
          <t>soumi.b@osmosys.co</t>
        </is>
      </c>
      <c r="D3072" t="inlineStr">
        <is>
          <t>tp</t>
        </is>
      </c>
      <c r="E3072">
        <f>HYPERLINK("http://gitlab.osmosys.co/tp/tp360", "TP360")</f>
        <v/>
      </c>
      <c r="F3072">
        <f>HYPERLINK("http://gitlab.osmosys.co/tp/tp360/-/merge_requests/2908", "Issue: Fix action button alignments in guest side and worksheets")</f>
        <v/>
      </c>
      <c r="G3072" t="inlineStr">
        <is>
          <t>cherry-pick-47271883</t>
        </is>
      </c>
      <c r="H3072" t="inlineStr">
        <is>
          <t>Staging_Development</t>
        </is>
      </c>
      <c r="I3072" t="inlineStr">
        <is>
          <t>merged</t>
        </is>
      </c>
      <c r="J3072" t="inlineStr"/>
      <c r="K3072" t="inlineStr"/>
      <c r="L3072" t="inlineStr"/>
      <c r="M3072" t="inlineStr"/>
      <c r="N3072" t="inlineStr"/>
      <c r="O3072" t="inlineStr"/>
      <c r="P3072" t="inlineStr"/>
      <c r="Q3072" t="inlineStr"/>
    </row>
    <row r="3073">
      <c r="A3073" t="inlineStr">
        <is>
          <t>soumi.b</t>
        </is>
      </c>
      <c r="B3073" t="inlineStr">
        <is>
          <t>Soumi Basak</t>
        </is>
      </c>
      <c r="C3073" t="inlineStr">
        <is>
          <t>soumi.b@osmosys.co</t>
        </is>
      </c>
      <c r="D3073" t="inlineStr">
        <is>
          <t>tp</t>
        </is>
      </c>
      <c r="E3073">
        <f>HYPERLINK("http://gitlab.osmosys.co/tp/tp360", "TP360")</f>
        <v/>
      </c>
      <c r="F3073">
        <f>HYPERLINK("http://gitlab.osmosys.co/tp/tp360/-/merge_requests/2907", "Fix invoice download issue")</f>
        <v/>
      </c>
      <c r="G3073" t="inlineStr">
        <is>
          <t>issue/invoice-download</t>
        </is>
      </c>
      <c r="H3073" t="inlineStr">
        <is>
          <t>Staging_Development</t>
        </is>
      </c>
      <c r="I3073" t="inlineStr">
        <is>
          <t>merged</t>
        </is>
      </c>
      <c r="J3073" t="inlineStr"/>
      <c r="K3073" t="inlineStr"/>
      <c r="L3073" t="inlineStr"/>
      <c r="M3073" t="inlineStr"/>
      <c r="N3073" t="inlineStr"/>
      <c r="O3073" t="inlineStr"/>
      <c r="P3073" t="inlineStr"/>
      <c r="Q3073" t="inlineStr"/>
    </row>
    <row r="3074">
      <c r="A3074" t="inlineStr">
        <is>
          <t>soumi.b</t>
        </is>
      </c>
      <c r="B3074" t="inlineStr">
        <is>
          <t>Soumi Basak</t>
        </is>
      </c>
      <c r="C3074" t="inlineStr">
        <is>
          <t>soumi.b@osmosys.co</t>
        </is>
      </c>
      <c r="D3074" t="inlineStr">
        <is>
          <t>tp</t>
        </is>
      </c>
      <c r="E3074">
        <f>HYPERLINK("http://gitlab.osmosys.co/tp/tp360", "TP360")</f>
        <v/>
      </c>
      <c r="F3074">
        <f>HYPERLINK("http://gitlab.osmosys.co/tp/tp360/-/merge_requests/2905", "Issue : Fix all the console errors in guest side")</f>
        <v/>
      </c>
      <c r="G3074" t="inlineStr">
        <is>
          <t>cherry-pick-85ffbb6f</t>
        </is>
      </c>
      <c r="H3074" t="inlineStr">
        <is>
          <t>Staging_Development</t>
        </is>
      </c>
      <c r="I3074" t="inlineStr">
        <is>
          <t>merged</t>
        </is>
      </c>
      <c r="J3074" t="inlineStr"/>
      <c r="K3074" t="inlineStr"/>
      <c r="L3074" t="inlineStr"/>
      <c r="M3074" t="inlineStr"/>
      <c r="N3074" t="inlineStr"/>
      <c r="O3074" t="inlineStr"/>
      <c r="P3074" t="inlineStr"/>
      <c r="Q3074" t="inlineStr"/>
    </row>
    <row r="3075">
      <c r="A3075" t="inlineStr">
        <is>
          <t>soumi.b</t>
        </is>
      </c>
      <c r="B3075" t="inlineStr">
        <is>
          <t>Soumi Basak</t>
        </is>
      </c>
      <c r="C3075" t="inlineStr">
        <is>
          <t>soumi.b@osmosys.co</t>
        </is>
      </c>
      <c r="D3075" t="inlineStr">
        <is>
          <t>tp</t>
        </is>
      </c>
      <c r="E3075">
        <f>HYPERLINK("http://gitlab.osmosys.co/tp/tp360", "TP360")</f>
        <v/>
      </c>
      <c r="F3075">
        <f>HYPERLINK("http://gitlab.osmosys.co/tp/tp360/-/merge_requests/2903", "Issue: Fix button alignment in view popup")</f>
        <v/>
      </c>
      <c r="G3075" t="inlineStr">
        <is>
          <t>cherry-pick-d385a709</t>
        </is>
      </c>
      <c r="H3075" t="inlineStr">
        <is>
          <t>Staging_Development</t>
        </is>
      </c>
      <c r="I3075" t="inlineStr">
        <is>
          <t>merged</t>
        </is>
      </c>
      <c r="J3075" t="inlineStr"/>
      <c r="K3075" t="inlineStr"/>
      <c r="L3075" t="inlineStr"/>
      <c r="M3075" t="inlineStr"/>
      <c r="N3075" t="inlineStr"/>
      <c r="O3075" t="inlineStr"/>
      <c r="P3075" t="inlineStr"/>
      <c r="Q3075" t="inlineStr"/>
    </row>
    <row r="3076">
      <c r="A3076" t="inlineStr">
        <is>
          <t>soumi.b</t>
        </is>
      </c>
      <c r="B3076" t="inlineStr">
        <is>
          <t>Soumi Basak</t>
        </is>
      </c>
      <c r="C3076" t="inlineStr">
        <is>
          <t>soumi.b@osmosys.co</t>
        </is>
      </c>
      <c r="D3076" t="inlineStr">
        <is>
          <t>tp</t>
        </is>
      </c>
      <c r="E3076">
        <f>HYPERLINK("http://gitlab.osmosys.co/tp/tp360", "TP360")</f>
        <v/>
      </c>
      <c r="F3076">
        <f>HYPERLINK("http://gitlab.osmosys.co/tp/tp360/-/merge_requests/2902", "17482: Fix auto extension issue in referral side")</f>
        <v/>
      </c>
      <c r="G3076" t="inlineStr">
        <is>
          <t>dev/auto-ext</t>
        </is>
      </c>
      <c r="H3076" t="inlineStr">
        <is>
          <t>PreTest_Development</t>
        </is>
      </c>
      <c r="I3076" t="inlineStr">
        <is>
          <t>merged</t>
        </is>
      </c>
      <c r="J3076" t="inlineStr"/>
      <c r="K3076" t="inlineStr"/>
      <c r="L3076" t="inlineStr"/>
      <c r="M3076" t="inlineStr"/>
      <c r="N3076" t="inlineStr"/>
      <c r="O3076" t="inlineStr"/>
      <c r="P3076" t="inlineStr"/>
      <c r="Q3076" t="inlineStr"/>
    </row>
    <row r="3077">
      <c r="A3077" t="inlineStr">
        <is>
          <t>soumi.b</t>
        </is>
      </c>
      <c r="B3077" t="inlineStr">
        <is>
          <t>Soumi Basak</t>
        </is>
      </c>
      <c r="C3077" t="inlineStr">
        <is>
          <t>soumi.b@osmosys.co</t>
        </is>
      </c>
      <c r="D3077" t="inlineStr">
        <is>
          <t>tp</t>
        </is>
      </c>
      <c r="E3077">
        <f>HYPERLINK("http://gitlab.osmosys.co/tp/tp360", "TP360")</f>
        <v/>
      </c>
      <c r="F3077">
        <f>HYPERLINK("http://gitlab.osmosys.co/tp/tp360/-/merge_requests/2899", "PenTest: Implement Cross scripting for contenteditable as true")</f>
        <v/>
      </c>
      <c r="G3077" t="inlineStr">
        <is>
          <t>cherry-pick-470a75e1</t>
        </is>
      </c>
      <c r="H3077" t="inlineStr">
        <is>
          <t>Staging_Development</t>
        </is>
      </c>
      <c r="I3077" t="inlineStr">
        <is>
          <t>merged</t>
        </is>
      </c>
      <c r="J3077" t="inlineStr"/>
      <c r="K3077" t="inlineStr"/>
      <c r="L3077" t="inlineStr"/>
      <c r="M3077" t="inlineStr"/>
      <c r="N3077" t="inlineStr"/>
      <c r="O3077" t="inlineStr"/>
      <c r="P3077" t="inlineStr"/>
      <c r="Q3077" t="inlineStr"/>
    </row>
    <row r="3078">
      <c r="A3078" t="inlineStr">
        <is>
          <t>soumi.b</t>
        </is>
      </c>
      <c r="B3078" t="inlineStr">
        <is>
          <t>Soumi Basak</t>
        </is>
      </c>
      <c r="C3078" t="inlineStr">
        <is>
          <t>soumi.b@osmosys.co</t>
        </is>
      </c>
      <c r="D3078" t="inlineStr">
        <is>
          <t>tp</t>
        </is>
      </c>
      <c r="E3078">
        <f>HYPERLINK("http://gitlab.osmosys.co/tp/tp360", "TP360")</f>
        <v/>
      </c>
      <c r="F3078">
        <f>HYPERLINK("http://gitlab.osmosys.co/tp/tp360/-/merge_requests/2898", "Change stage id param in Support Ticket.")</f>
        <v/>
      </c>
      <c r="G3078" t="inlineStr">
        <is>
          <t>cherry-pick-096cf710</t>
        </is>
      </c>
      <c r="H3078" t="inlineStr">
        <is>
          <t>Staging_Development</t>
        </is>
      </c>
      <c r="I3078" t="inlineStr">
        <is>
          <t>merged</t>
        </is>
      </c>
      <c r="J3078" t="inlineStr"/>
      <c r="K3078" t="inlineStr"/>
      <c r="L3078" t="inlineStr"/>
      <c r="M3078" t="inlineStr"/>
      <c r="N3078" t="inlineStr"/>
      <c r="O3078" t="inlineStr"/>
      <c r="P3078" t="inlineStr"/>
      <c r="Q3078" t="inlineStr"/>
    </row>
    <row r="3079">
      <c r="A3079" t="inlineStr">
        <is>
          <t>soumi.b</t>
        </is>
      </c>
      <c r="B3079" t="inlineStr">
        <is>
          <t>Soumi Basak</t>
        </is>
      </c>
      <c r="C3079" t="inlineStr">
        <is>
          <t>soumi.b@osmosys.co</t>
        </is>
      </c>
      <c r="D3079" t="inlineStr">
        <is>
          <t>tp</t>
        </is>
      </c>
      <c r="E3079">
        <f>HYPERLINK("http://gitlab.osmosys.co/tp/tp360", "TP360")</f>
        <v/>
      </c>
      <c r="F3079">
        <f>HYPERLINK("http://gitlab.osmosys.co/tp/tp360/-/merge_requests/2896", "Fix alignment of summary popup")</f>
        <v/>
      </c>
      <c r="G3079" t="inlineStr">
        <is>
          <t>cherry-pick-16b10961</t>
        </is>
      </c>
      <c r="H3079" t="inlineStr">
        <is>
          <t>PreTest_Development</t>
        </is>
      </c>
      <c r="I3079" t="inlineStr">
        <is>
          <t>merged</t>
        </is>
      </c>
      <c r="J3079" t="inlineStr"/>
      <c r="K3079" t="inlineStr"/>
      <c r="L3079" t="inlineStr"/>
      <c r="M3079" t="inlineStr"/>
      <c r="N3079" t="inlineStr"/>
      <c r="O3079" t="inlineStr"/>
      <c r="P3079" t="inlineStr"/>
      <c r="Q3079" t="inlineStr"/>
    </row>
    <row r="3080">
      <c r="A3080" t="inlineStr">
        <is>
          <t>soumi.b</t>
        </is>
      </c>
      <c r="B3080" t="inlineStr">
        <is>
          <t>Soumi Basak</t>
        </is>
      </c>
      <c r="C3080" t="inlineStr">
        <is>
          <t>soumi.b@osmosys.co</t>
        </is>
      </c>
      <c r="D3080" t="inlineStr">
        <is>
          <t>tp</t>
        </is>
      </c>
      <c r="E3080">
        <f>HYPERLINK("http://gitlab.osmosys.co/tp/tp360", "TP360")</f>
        <v/>
      </c>
      <c r="F3080">
        <f>HYPERLINK("http://gitlab.osmosys.co/tp/tp360/-/merge_requests/2895", "Fix alignment of summary popup")</f>
        <v/>
      </c>
      <c r="G3080" t="inlineStr">
        <is>
          <t>issue/summary-alignment</t>
        </is>
      </c>
      <c r="H3080" t="inlineStr">
        <is>
          <t>Staging_Development</t>
        </is>
      </c>
      <c r="I3080" t="inlineStr">
        <is>
          <t>merged</t>
        </is>
      </c>
      <c r="J3080" t="inlineStr"/>
      <c r="K3080" t="inlineStr"/>
      <c r="L3080" t="inlineStr"/>
      <c r="M3080" t="inlineStr"/>
      <c r="N3080" t="inlineStr"/>
      <c r="O3080" t="inlineStr"/>
      <c r="P3080" t="inlineStr"/>
      <c r="Q3080" t="inlineStr"/>
    </row>
    <row r="3081">
      <c r="A3081" t="inlineStr">
        <is>
          <t>soumi.b</t>
        </is>
      </c>
      <c r="B3081" t="inlineStr">
        <is>
          <t>Soumi Basak</t>
        </is>
      </c>
      <c r="C3081" t="inlineStr">
        <is>
          <t>soumi.b@osmosys.co</t>
        </is>
      </c>
      <c r="D3081" t="inlineStr">
        <is>
          <t>tp</t>
        </is>
      </c>
      <c r="E3081">
        <f>HYPERLINK("http://gitlab.osmosys.co/tp/tp360", "TP360")</f>
        <v/>
      </c>
      <c r="F3081">
        <f>HYPERLINK("http://gitlab.osmosys.co/tp/tp360/-/merge_requests/2894", "Fix Save button issue in guest attach documents")</f>
        <v/>
      </c>
      <c r="G3081" t="inlineStr">
        <is>
          <t>cherry-pick-380275aa</t>
        </is>
      </c>
      <c r="H3081" t="inlineStr">
        <is>
          <t>Staging_Development</t>
        </is>
      </c>
      <c r="I3081" t="inlineStr">
        <is>
          <t>merged</t>
        </is>
      </c>
      <c r="J3081" t="inlineStr"/>
      <c r="K3081" t="inlineStr"/>
      <c r="L3081" t="inlineStr"/>
      <c r="M3081" t="inlineStr"/>
      <c r="N3081" t="inlineStr"/>
      <c r="O3081" t="inlineStr"/>
      <c r="P3081" t="inlineStr"/>
      <c r="Q3081" t="inlineStr"/>
    </row>
    <row r="3082">
      <c r="A3082" t="inlineStr">
        <is>
          <t>soumi.b</t>
        </is>
      </c>
      <c r="B3082" t="inlineStr">
        <is>
          <t>Soumi Basak</t>
        </is>
      </c>
      <c r="C3082" t="inlineStr">
        <is>
          <t>soumi.b@osmosys.co</t>
        </is>
      </c>
      <c r="D3082" t="inlineStr">
        <is>
          <t>tp</t>
        </is>
      </c>
      <c r="E3082">
        <f>HYPERLINK("http://gitlab.osmosys.co/tp/tp360", "TP360")</f>
        <v/>
      </c>
      <c r="F3082">
        <f>HYPERLINK("http://gitlab.osmosys.co/tp/tp360/-/merge_requests/2893", "Draft: Add live configurations for Live build")</f>
        <v/>
      </c>
      <c r="G3082" t="inlineStr">
        <is>
          <t>dev/live-config</t>
        </is>
      </c>
      <c r="H3082" t="inlineStr">
        <is>
          <t>Staging_Development</t>
        </is>
      </c>
      <c r="I3082" t="inlineStr">
        <is>
          <t>opened</t>
        </is>
      </c>
      <c r="J3082" t="inlineStr"/>
      <c r="K3082" t="inlineStr"/>
      <c r="L3082" t="inlineStr"/>
      <c r="M3082" t="inlineStr"/>
      <c r="N3082" t="inlineStr"/>
      <c r="O3082" t="inlineStr"/>
      <c r="P3082" t="inlineStr"/>
      <c r="Q3082" t="inlineStr"/>
    </row>
    <row r="3083">
      <c r="A3083" t="inlineStr">
        <is>
          <t>soumi.b</t>
        </is>
      </c>
      <c r="B3083" t="inlineStr">
        <is>
          <t>Soumi Basak</t>
        </is>
      </c>
      <c r="C3083" t="inlineStr">
        <is>
          <t>soumi.b@osmosys.co</t>
        </is>
      </c>
      <c r="D3083" t="inlineStr">
        <is>
          <t>tp</t>
        </is>
      </c>
      <c r="E3083">
        <f>HYPERLINK("http://gitlab.osmosys.co/tp/tp360", "TP360")</f>
        <v/>
      </c>
      <c r="F3083">
        <f>HYPERLINK("http://gitlab.osmosys.co/tp/tp360/-/merge_requests/2892", "Draft: Implement HMAC authentication")</f>
        <v/>
      </c>
      <c r="G3083" t="inlineStr">
        <is>
          <t>cherry-pick-3b323d9c</t>
        </is>
      </c>
      <c r="H3083" t="inlineStr">
        <is>
          <t>PreTest_Development</t>
        </is>
      </c>
      <c r="I3083" t="inlineStr">
        <is>
          <t>opened</t>
        </is>
      </c>
      <c r="J3083" t="inlineStr"/>
      <c r="K3083" t="inlineStr"/>
      <c r="L3083" t="inlineStr"/>
      <c r="M3083" t="inlineStr"/>
      <c r="N3083" t="inlineStr"/>
      <c r="O3083" t="inlineStr"/>
      <c r="P3083" t="inlineStr"/>
      <c r="Q3083" t="inlineStr"/>
    </row>
    <row r="3084">
      <c r="A3084" t="inlineStr">
        <is>
          <t>soumi.b</t>
        </is>
      </c>
      <c r="B3084" t="inlineStr">
        <is>
          <t>Soumi Basak</t>
        </is>
      </c>
      <c r="C3084" t="inlineStr">
        <is>
          <t>soumi.b@osmosys.co</t>
        </is>
      </c>
      <c r="D3084" t="inlineStr">
        <is>
          <t>tp</t>
        </is>
      </c>
      <c r="E3084">
        <f>HYPERLINK("http://gitlab.osmosys.co/tp/tp360", "TP360")</f>
        <v/>
      </c>
      <c r="F3084">
        <f>HYPERLINK("http://gitlab.osmosys.co/tp/tp360/-/merge_requests/2891", "Issue : Fix button alignment after bootstrap upgrade")</f>
        <v/>
      </c>
      <c r="G3084" t="inlineStr">
        <is>
          <t>cherry-pick-f910d46f</t>
        </is>
      </c>
      <c r="H3084" t="inlineStr">
        <is>
          <t>Staging_Development</t>
        </is>
      </c>
      <c r="I3084" t="inlineStr">
        <is>
          <t>merged</t>
        </is>
      </c>
      <c r="J3084" t="inlineStr"/>
      <c r="K3084" t="inlineStr"/>
      <c r="L3084" t="inlineStr"/>
      <c r="M3084" t="inlineStr"/>
      <c r="N3084" t="inlineStr"/>
      <c r="O3084" t="inlineStr"/>
      <c r="P3084" t="inlineStr"/>
      <c r="Q3084" t="inlineStr"/>
    </row>
    <row r="3085">
      <c r="A3085" t="inlineStr">
        <is>
          <t>soumi.b</t>
        </is>
      </c>
      <c r="B3085" t="inlineStr">
        <is>
          <t>Soumi Basak</t>
        </is>
      </c>
      <c r="C3085" t="inlineStr">
        <is>
          <t>soumi.b@osmosys.co</t>
        </is>
      </c>
      <c r="D3085" t="inlineStr">
        <is>
          <t>tp</t>
        </is>
      </c>
      <c r="E3085">
        <f>HYPERLINK("http://gitlab.osmosys.co/tp/tp360", "TP360")</f>
        <v/>
      </c>
      <c r="F3085">
        <f>HYPERLINK("http://gitlab.osmosys.co/tp/tp360/-/merge_requests/2890", "Move Staging_Development changes into Live_Bridge")</f>
        <v/>
      </c>
      <c r="G3085" t="inlineStr">
        <is>
          <t>Staging_Development</t>
        </is>
      </c>
      <c r="H3085" t="inlineStr">
        <is>
          <t>Live_Bridge</t>
        </is>
      </c>
      <c r="I3085" t="inlineStr">
        <is>
          <t>merged</t>
        </is>
      </c>
      <c r="J3085" t="inlineStr"/>
      <c r="K3085" t="inlineStr"/>
      <c r="L3085" t="inlineStr"/>
      <c r="M3085" t="inlineStr"/>
      <c r="N3085" t="inlineStr"/>
      <c r="O3085" t="inlineStr"/>
      <c r="P3085" t="inlineStr"/>
      <c r="Q3085" t="inlineStr"/>
    </row>
    <row r="3086">
      <c r="A3086" t="inlineStr">
        <is>
          <t>soumi.b</t>
        </is>
      </c>
      <c r="B3086" t="inlineStr">
        <is>
          <t>Soumi Basak</t>
        </is>
      </c>
      <c r="C3086" t="inlineStr">
        <is>
          <t>soumi.b@osmosys.co</t>
        </is>
      </c>
      <c r="D3086" t="inlineStr">
        <is>
          <t>tp</t>
        </is>
      </c>
      <c r="E3086">
        <f>HYPERLINK("http://gitlab.osmosys.co/tp/tp360", "TP360")</f>
        <v/>
      </c>
      <c r="F3086">
        <f>HYPERLINK("http://gitlab.osmosys.co/tp/tp360/-/merge_requests/2889", "Fix save all button alignment")</f>
        <v/>
      </c>
      <c r="G3086" t="inlineStr">
        <is>
          <t>cherry-pick-d3fbc200</t>
        </is>
      </c>
      <c r="H3086" t="inlineStr">
        <is>
          <t>Staging_Development</t>
        </is>
      </c>
      <c r="I3086" t="inlineStr">
        <is>
          <t>merged</t>
        </is>
      </c>
      <c r="J3086" t="inlineStr"/>
      <c r="K3086" t="inlineStr"/>
      <c r="L3086" t="inlineStr"/>
      <c r="M3086" t="inlineStr"/>
      <c r="N3086" t="inlineStr"/>
      <c r="O3086" t="inlineStr"/>
      <c r="P3086" t="inlineStr"/>
      <c r="Q3086" t="inlineStr"/>
    </row>
    <row r="3087">
      <c r="A3087" t="inlineStr">
        <is>
          <t>soumi.b</t>
        </is>
      </c>
      <c r="B3087" t="inlineStr">
        <is>
          <t>Soumi Basak</t>
        </is>
      </c>
      <c r="C3087" t="inlineStr">
        <is>
          <t>soumi.b@osmosys.co</t>
        </is>
      </c>
      <c r="D3087" t="inlineStr">
        <is>
          <t>tp</t>
        </is>
      </c>
      <c r="E3087">
        <f>HYPERLINK("http://gitlab.osmosys.co/tp/tp360", "TP360")</f>
        <v/>
      </c>
      <c r="F3087">
        <f>HYPERLINK("http://gitlab.osmosys.co/tp/tp360/-/merge_requests/2888", "Move Staging_Development changes into Live_Bridge")</f>
        <v/>
      </c>
      <c r="G3087" t="inlineStr">
        <is>
          <t>Staging_Development</t>
        </is>
      </c>
      <c r="H3087" t="inlineStr">
        <is>
          <t>Live_Bridge</t>
        </is>
      </c>
      <c r="I3087" t="inlineStr">
        <is>
          <t>closed</t>
        </is>
      </c>
      <c r="J3087" t="inlineStr"/>
      <c r="K3087" t="inlineStr"/>
      <c r="L3087" t="inlineStr"/>
      <c r="M3087" t="inlineStr"/>
      <c r="N3087" t="inlineStr"/>
      <c r="O3087" t="inlineStr"/>
      <c r="P3087" t="inlineStr"/>
      <c r="Q3087" t="inlineStr"/>
    </row>
    <row r="3088">
      <c r="A3088" t="inlineStr">
        <is>
          <t>soumi.b</t>
        </is>
      </c>
      <c r="B3088" t="inlineStr">
        <is>
          <t>Soumi Basak</t>
        </is>
      </c>
      <c r="C3088" t="inlineStr">
        <is>
          <t>soumi.b@osmosys.co</t>
        </is>
      </c>
      <c r="D3088" t="inlineStr">
        <is>
          <t>tp</t>
        </is>
      </c>
      <c r="E3088">
        <f>HYPERLINK("http://gitlab.osmosys.co/tp/tp360", "TP360")</f>
        <v/>
      </c>
      <c r="F3088">
        <f>HYPERLINK("http://gitlab.osmosys.co/tp/tp360/-/merge_requests/2883", "Issue: Fix save all button in hotel commission worksheet")</f>
        <v/>
      </c>
      <c r="G3088" t="inlineStr">
        <is>
          <t>cherry-pick-d3fbc202-2</t>
        </is>
      </c>
      <c r="H3088" t="inlineStr">
        <is>
          <t>Live_Bridge</t>
        </is>
      </c>
      <c r="I3088" t="inlineStr">
        <is>
          <t>closed</t>
        </is>
      </c>
      <c r="J3088" t="inlineStr"/>
      <c r="K3088" t="inlineStr"/>
      <c r="L3088" t="inlineStr"/>
      <c r="M3088" t="inlineStr"/>
      <c r="N3088" t="inlineStr"/>
      <c r="O3088" t="inlineStr"/>
      <c r="P3088" t="inlineStr"/>
      <c r="Q3088" t="inlineStr"/>
    </row>
    <row r="3089">
      <c r="A3089" t="inlineStr">
        <is>
          <t>soumi.b</t>
        </is>
      </c>
      <c r="B3089" t="inlineStr">
        <is>
          <t>Soumi Basak</t>
        </is>
      </c>
      <c r="C3089" t="inlineStr">
        <is>
          <t>soumi.b@osmosys.co</t>
        </is>
      </c>
      <c r="D3089" t="inlineStr">
        <is>
          <t>tp</t>
        </is>
      </c>
      <c r="E3089">
        <f>HYPERLINK("http://gitlab.osmosys.co/tp/tp360", "TP360")</f>
        <v/>
      </c>
      <c r="F3089">
        <f>HYPERLINK("http://gitlab.osmosys.co/tp/tp360/-/merge_requests/2882", "Issue: Fix save all button in hotel commission worksheet")</f>
        <v/>
      </c>
      <c r="G3089" t="inlineStr">
        <is>
          <t>cherry-pick-d3fbc202</t>
        </is>
      </c>
      <c r="H3089" t="inlineStr">
        <is>
          <t>Staging_Development</t>
        </is>
      </c>
      <c r="I3089" t="inlineStr">
        <is>
          <t>merged</t>
        </is>
      </c>
      <c r="J3089" t="inlineStr"/>
      <c r="K3089" t="inlineStr"/>
      <c r="L3089" t="inlineStr"/>
      <c r="M3089" t="inlineStr"/>
      <c r="N3089" t="inlineStr"/>
      <c r="O3089" t="inlineStr"/>
      <c r="P3089" t="inlineStr"/>
      <c r="Q3089" t="inlineStr"/>
    </row>
    <row r="3090">
      <c r="A3090" t="inlineStr">
        <is>
          <t>soumi.b</t>
        </is>
      </c>
      <c r="B3090" t="inlineStr">
        <is>
          <t>Soumi Basak</t>
        </is>
      </c>
      <c r="C3090" t="inlineStr">
        <is>
          <t>soumi.b@osmosys.co</t>
        </is>
      </c>
      <c r="D3090" t="inlineStr">
        <is>
          <t>tp</t>
        </is>
      </c>
      <c r="E3090">
        <f>HYPERLINK("http://gitlab.osmosys.co/tp/tp360", "TP360")</f>
        <v/>
      </c>
      <c r="F3090">
        <f>HYPERLINK("http://gitlab.osmosys.co/tp/tp360/-/merge_requests/2881", "13803: Update dropdown Id in hotel Payment Processing Worksheet")</f>
        <v/>
      </c>
      <c r="G3090" t="inlineStr">
        <is>
          <t>cherry-pick-1009fb15-2</t>
        </is>
      </c>
      <c r="H3090" t="inlineStr">
        <is>
          <t>Live_Bridge</t>
        </is>
      </c>
      <c r="I3090" t="inlineStr">
        <is>
          <t>closed</t>
        </is>
      </c>
      <c r="J3090" t="inlineStr"/>
      <c r="K3090" t="inlineStr"/>
      <c r="L3090" t="inlineStr"/>
      <c r="M3090" t="inlineStr"/>
      <c r="N3090" t="inlineStr"/>
      <c r="O3090" t="inlineStr"/>
      <c r="P3090" t="inlineStr"/>
      <c r="Q3090" t="inlineStr"/>
    </row>
    <row r="3091">
      <c r="A3091" t="inlineStr">
        <is>
          <t>soumi.b</t>
        </is>
      </c>
      <c r="B3091" t="inlineStr">
        <is>
          <t>Soumi Basak</t>
        </is>
      </c>
      <c r="C3091" t="inlineStr">
        <is>
          <t>soumi.b@osmosys.co</t>
        </is>
      </c>
      <c r="D3091" t="inlineStr">
        <is>
          <t>tp</t>
        </is>
      </c>
      <c r="E3091">
        <f>HYPERLINK("http://gitlab.osmosys.co/tp/tp360", "TP360")</f>
        <v/>
      </c>
      <c r="F3091">
        <f>HYPERLINK("http://gitlab.osmosys.co/tp/tp360/-/merge_requests/2880", "13803: Update dropdown Id in hotel Payment Processing Worksheet")</f>
        <v/>
      </c>
      <c r="G3091" t="inlineStr">
        <is>
          <t>cherry-pick-1009fb15</t>
        </is>
      </c>
      <c r="H3091" t="inlineStr">
        <is>
          <t>Staging_Development</t>
        </is>
      </c>
      <c r="I3091" t="inlineStr">
        <is>
          <t>merged</t>
        </is>
      </c>
      <c r="J3091" t="inlineStr"/>
      <c r="K3091" t="inlineStr"/>
      <c r="L3091" t="inlineStr"/>
      <c r="M3091" t="inlineStr"/>
      <c r="N3091" t="inlineStr"/>
      <c r="O3091" t="inlineStr"/>
      <c r="P3091" t="inlineStr"/>
      <c r="Q3091" t="inlineStr"/>
    </row>
    <row r="3092">
      <c r="A3092" t="inlineStr">
        <is>
          <t>soumi.b</t>
        </is>
      </c>
      <c r="B3092" t="inlineStr">
        <is>
          <t>Soumi Basak</t>
        </is>
      </c>
      <c r="C3092" t="inlineStr">
        <is>
          <t>soumi.b@osmosys.co</t>
        </is>
      </c>
      <c r="D3092" t="inlineStr">
        <is>
          <t>tp</t>
        </is>
      </c>
      <c r="E3092">
        <f>HYPERLINK("http://gitlab.osmosys.co/tp/tp360", "TP360")</f>
        <v/>
      </c>
      <c r="F3092">
        <f>HYPERLINK("http://gitlab.osmosys.co/tp/tp360/-/merge_requests/2878", "13803 : Integrate save api in Hotel Payment Processing Worksheet")</f>
        <v/>
      </c>
      <c r="G3092" t="inlineStr">
        <is>
          <t>cherry-pick-87fd9817-2</t>
        </is>
      </c>
      <c r="H3092" t="inlineStr">
        <is>
          <t>Live_Bridge</t>
        </is>
      </c>
      <c r="I3092" t="inlineStr">
        <is>
          <t>closed</t>
        </is>
      </c>
      <c r="J3092" t="inlineStr"/>
      <c r="K3092" t="inlineStr"/>
      <c r="L3092" t="inlineStr"/>
      <c r="M3092" t="inlineStr"/>
      <c r="N3092" t="inlineStr"/>
      <c r="O3092" t="inlineStr"/>
      <c r="P3092" t="inlineStr"/>
      <c r="Q3092" t="inlineStr"/>
    </row>
    <row r="3093">
      <c r="A3093" t="inlineStr">
        <is>
          <t>soumi.b</t>
        </is>
      </c>
      <c r="B3093" t="inlineStr">
        <is>
          <t>Soumi Basak</t>
        </is>
      </c>
      <c r="C3093" t="inlineStr">
        <is>
          <t>soumi.b@osmosys.co</t>
        </is>
      </c>
      <c r="D3093" t="inlineStr">
        <is>
          <t>tp</t>
        </is>
      </c>
      <c r="E3093">
        <f>HYPERLINK("http://gitlab.osmosys.co/tp/tp360", "TP360")</f>
        <v/>
      </c>
      <c r="F3093">
        <f>HYPERLINK("http://gitlab.osmosys.co/tp/tp360/-/merge_requests/2877", "13803 : Integrate save api in Hotel Payment Processing Worksheet")</f>
        <v/>
      </c>
      <c r="G3093" t="inlineStr">
        <is>
          <t>cherry-pick-87fd9817</t>
        </is>
      </c>
      <c r="H3093" t="inlineStr">
        <is>
          <t>Staging_Development</t>
        </is>
      </c>
      <c r="I3093" t="inlineStr">
        <is>
          <t>merged</t>
        </is>
      </c>
      <c r="J3093" t="inlineStr"/>
      <c r="K3093" t="inlineStr"/>
      <c r="L3093" t="inlineStr"/>
      <c r="M3093" t="inlineStr"/>
      <c r="N3093" t="inlineStr"/>
      <c r="O3093" t="inlineStr"/>
      <c r="P3093" t="inlineStr"/>
      <c r="Q3093" t="inlineStr"/>
    </row>
    <row r="3094">
      <c r="A3094" t="inlineStr">
        <is>
          <t>soumi.b</t>
        </is>
      </c>
      <c r="B3094" t="inlineStr">
        <is>
          <t>Soumi Basak</t>
        </is>
      </c>
      <c r="C3094" t="inlineStr">
        <is>
          <t>soumi.b@osmosys.co</t>
        </is>
      </c>
      <c r="D3094" t="inlineStr">
        <is>
          <t>tp</t>
        </is>
      </c>
      <c r="E3094">
        <f>HYPERLINK("http://gitlab.osmosys.co/tp/tp360", "TP360")</f>
        <v/>
      </c>
      <c r="F3094">
        <f>HYPERLINK("http://gitlab.osmosys.co/tp/tp360/-/merge_requests/2876", "Implement HMAC authentication")</f>
        <v/>
      </c>
      <c r="G3094" t="inlineStr">
        <is>
          <t>dev/HMAC-authentication-test</t>
        </is>
      </c>
      <c r="H3094" t="inlineStr">
        <is>
          <t>Staging_Development</t>
        </is>
      </c>
      <c r="I3094" t="inlineStr">
        <is>
          <t>merged</t>
        </is>
      </c>
      <c r="J3094" t="inlineStr"/>
      <c r="K3094" t="inlineStr"/>
      <c r="L3094" t="inlineStr"/>
      <c r="M3094" t="inlineStr"/>
      <c r="N3094" t="inlineStr"/>
      <c r="O3094" t="inlineStr"/>
      <c r="P3094" t="inlineStr"/>
      <c r="Q3094" t="inlineStr"/>
    </row>
    <row r="3095">
      <c r="A3095" t="inlineStr">
        <is>
          <t>soumi.b</t>
        </is>
      </c>
      <c r="B3095" t="inlineStr">
        <is>
          <t>Soumi Basak</t>
        </is>
      </c>
      <c r="C3095" t="inlineStr">
        <is>
          <t>soumi.b@osmosys.co</t>
        </is>
      </c>
      <c r="D3095" t="inlineStr">
        <is>
          <t>tp</t>
        </is>
      </c>
      <c r="E3095">
        <f>HYPERLINK("http://gitlab.osmosys.co/tp/tp360", "TP360")</f>
        <v/>
      </c>
      <c r="F3095">
        <f>HYPERLINK("http://gitlab.osmosys.co/tp/tp360/-/merge_requests/2875", "Draft: Implement HMAC authentication")</f>
        <v/>
      </c>
      <c r="G3095" t="inlineStr">
        <is>
          <t>dev/HMAC-authentication</t>
        </is>
      </c>
      <c r="H3095" t="inlineStr">
        <is>
          <t>PreTest_Development</t>
        </is>
      </c>
      <c r="I3095" t="inlineStr">
        <is>
          <t>closed</t>
        </is>
      </c>
      <c r="J3095" t="inlineStr"/>
      <c r="K3095" t="inlineStr"/>
      <c r="L3095" t="inlineStr"/>
      <c r="M3095" t="inlineStr"/>
      <c r="N3095" t="inlineStr"/>
      <c r="O3095" t="inlineStr"/>
      <c r="P3095" t="inlineStr"/>
      <c r="Q3095" t="inlineStr"/>
    </row>
    <row r="3096">
      <c r="A3096" t="inlineStr">
        <is>
          <t>soumi.b</t>
        </is>
      </c>
      <c r="B3096" t="inlineStr">
        <is>
          <t>Soumi Basak</t>
        </is>
      </c>
      <c r="C3096" t="inlineStr">
        <is>
          <t>soumi.b@osmosys.co</t>
        </is>
      </c>
      <c r="D3096" t="inlineStr">
        <is>
          <t>tp</t>
        </is>
      </c>
      <c r="E3096">
        <f>HYPERLINK("http://gitlab.osmosys.co/tp/tp360", "TP360")</f>
        <v/>
      </c>
      <c r="F3096">
        <f>HYPERLINK("http://gitlab.osmosys.co/tp/tp360/-/merge_requests/2873", "Modify the summary tickets to filter by 'Stage' instead of 'Status'")</f>
        <v/>
      </c>
      <c r="G3096" t="inlineStr">
        <is>
          <t>dev/support-summary-stage-filter</t>
        </is>
      </c>
      <c r="H3096" t="inlineStr">
        <is>
          <t>PreTest_Development</t>
        </is>
      </c>
      <c r="I3096" t="inlineStr">
        <is>
          <t>merged</t>
        </is>
      </c>
      <c r="J3096" t="inlineStr"/>
      <c r="K3096" t="inlineStr"/>
      <c r="L3096" t="inlineStr"/>
      <c r="M3096" t="inlineStr"/>
      <c r="N3096" t="inlineStr"/>
      <c r="O3096" t="inlineStr"/>
      <c r="P3096" t="inlineStr"/>
      <c r="Q3096" t="inlineStr"/>
    </row>
    <row r="3097">
      <c r="A3097" t="inlineStr">
        <is>
          <t>soumi.b</t>
        </is>
      </c>
      <c r="B3097" t="inlineStr">
        <is>
          <t>Soumi Basak</t>
        </is>
      </c>
      <c r="C3097" t="inlineStr">
        <is>
          <t>soumi.b@osmosys.co</t>
        </is>
      </c>
      <c r="D3097" t="inlineStr">
        <is>
          <t>tp</t>
        </is>
      </c>
      <c r="E3097">
        <f>HYPERLINK("http://gitlab.osmosys.co/tp/tp360", "TP360")</f>
        <v/>
      </c>
      <c r="F3097">
        <f>HYPERLINK("http://gitlab.osmosys.co/tp/tp360/-/merge_requests/2872", "Fix Send Invoice popup not opening when no Approved batch records are present")</f>
        <v/>
      </c>
      <c r="G3097" t="inlineStr">
        <is>
          <t>cherry-pick-0bac890c-3</t>
        </is>
      </c>
      <c r="H3097" t="inlineStr">
        <is>
          <t>Live_Bridge</t>
        </is>
      </c>
      <c r="I3097" t="inlineStr">
        <is>
          <t>closed</t>
        </is>
      </c>
      <c r="J3097" t="inlineStr"/>
      <c r="K3097" t="inlineStr"/>
      <c r="L3097" t="inlineStr"/>
      <c r="M3097" t="inlineStr"/>
      <c r="N3097" t="inlineStr"/>
      <c r="O3097" t="inlineStr"/>
      <c r="P3097" t="inlineStr"/>
      <c r="Q3097" t="inlineStr"/>
    </row>
    <row r="3098">
      <c r="A3098" t="inlineStr">
        <is>
          <t>soumi.b</t>
        </is>
      </c>
      <c r="B3098" t="inlineStr">
        <is>
          <t>Soumi Basak</t>
        </is>
      </c>
      <c r="C3098" t="inlineStr">
        <is>
          <t>soumi.b@osmosys.co</t>
        </is>
      </c>
      <c r="D3098" t="inlineStr">
        <is>
          <t>tp</t>
        </is>
      </c>
      <c r="E3098">
        <f>HYPERLINK("http://gitlab.osmosys.co/tp/tp360", "TP360")</f>
        <v/>
      </c>
      <c r="F3098">
        <f>HYPERLINK("http://gitlab.osmosys.co/tp/tp360/-/merge_requests/2871", "Fix btn alignments in confirm ale popup")</f>
        <v/>
      </c>
      <c r="G3098" t="inlineStr">
        <is>
          <t>cherry-pick-0b842b85</t>
        </is>
      </c>
      <c r="H3098" t="inlineStr">
        <is>
          <t>Staging_Development</t>
        </is>
      </c>
      <c r="I3098" t="inlineStr">
        <is>
          <t>merged</t>
        </is>
      </c>
      <c r="J3098" t="inlineStr"/>
      <c r="K3098" t="inlineStr"/>
      <c r="L3098" t="inlineStr"/>
      <c r="M3098" t="inlineStr"/>
      <c r="N3098" t="inlineStr"/>
      <c r="O3098" t="inlineStr"/>
      <c r="P3098" t="inlineStr"/>
      <c r="Q3098" t="inlineStr"/>
    </row>
    <row r="3099">
      <c r="A3099" t="inlineStr">
        <is>
          <t>soumi.b</t>
        </is>
      </c>
      <c r="B3099" t="inlineStr">
        <is>
          <t>Soumi Basak</t>
        </is>
      </c>
      <c r="C3099" t="inlineStr">
        <is>
          <t>soumi.b@osmosys.co</t>
        </is>
      </c>
      <c r="D3099" t="inlineStr">
        <is>
          <t>tp</t>
        </is>
      </c>
      <c r="E3099">
        <f>HYPERLINK("http://gitlab.osmosys.co/tp/tp360", "TP360")</f>
        <v/>
      </c>
      <c r="F3099">
        <f>HYPERLINK("http://gitlab.osmosys.co/tp/tp360/-/merge_requests/2869", "16800: Disable the ability to create Adjuster for inactive companies")</f>
        <v/>
      </c>
      <c r="G3099" t="inlineStr">
        <is>
          <t>dev/restrict-contact-inactive-company</t>
        </is>
      </c>
      <c r="H3099" t="inlineStr">
        <is>
          <t>PreTest_Development</t>
        </is>
      </c>
      <c r="I3099" t="inlineStr">
        <is>
          <t>merged</t>
        </is>
      </c>
      <c r="J3099" t="inlineStr"/>
      <c r="K3099" t="inlineStr"/>
      <c r="L3099" t="inlineStr"/>
      <c r="M3099" t="inlineStr"/>
      <c r="N3099" t="inlineStr"/>
      <c r="O3099" t="inlineStr"/>
      <c r="P3099" t="inlineStr"/>
      <c r="Q3099" t="inlineStr"/>
    </row>
    <row r="3100">
      <c r="A3100" t="inlineStr">
        <is>
          <t>soumi.b</t>
        </is>
      </c>
      <c r="B3100" t="inlineStr">
        <is>
          <t>Soumi Basak</t>
        </is>
      </c>
      <c r="C3100" t="inlineStr">
        <is>
          <t>soumi.b@osmosys.co</t>
        </is>
      </c>
      <c r="D3100" t="inlineStr">
        <is>
          <t>tp</t>
        </is>
      </c>
      <c r="E3100">
        <f>HYPERLINK("http://gitlab.osmosys.co/tp/hometrak", "HomeTrak")</f>
        <v/>
      </c>
      <c r="F3100">
        <f>HYPERLINK("http://gitlab.osmosys.co/tp/hometrak/-/merge_requests/78", "Move Staging_Development code into Development")</f>
        <v/>
      </c>
      <c r="G3100" t="inlineStr">
        <is>
          <t>Staging_Development</t>
        </is>
      </c>
      <c r="H3100" t="inlineStr">
        <is>
          <t>Development</t>
        </is>
      </c>
      <c r="I3100" t="inlineStr">
        <is>
          <t>opened</t>
        </is>
      </c>
      <c r="J3100" t="inlineStr">
        <is>
          <t>c706618d9b148e9e6bc96d701793b2f7ee824771</t>
        </is>
      </c>
      <c r="K3100">
        <f>HYPERLINK("http://gitlab.osmosys.co/tp/hometrak/-/merge_requests/78#note_241794", "Add Comments")</f>
        <v/>
      </c>
      <c r="L3100" t="inlineStr">
        <is>
          <t>2025-07-25 13:05:20.604 IST</t>
        </is>
      </c>
      <c r="M3100" t="inlineStr">
        <is>
          <t>Jaswanth Lingareddy</t>
        </is>
      </c>
      <c r="N3100" t="inlineStr">
        <is>
          <t>Yes</t>
        </is>
      </c>
      <c r="O3100" t="inlineStr">
        <is>
          <t>No</t>
        </is>
      </c>
      <c r="P3100" t="inlineStr"/>
      <c r="Q3100" t="inlineStr">
        <is>
          <t>Bad</t>
        </is>
      </c>
    </row>
    <row r="3101">
      <c r="A3101" t="inlineStr">
        <is>
          <t>soumi.b</t>
        </is>
      </c>
      <c r="B3101" t="inlineStr">
        <is>
          <t>Soumi Basak</t>
        </is>
      </c>
      <c r="C3101" t="inlineStr">
        <is>
          <t>soumi.b@osmosys.co</t>
        </is>
      </c>
      <c r="D3101" t="inlineStr">
        <is>
          <t>tp</t>
        </is>
      </c>
      <c r="E3101">
        <f>HYPERLINK("http://gitlab.osmosys.co/tp/hometrak", "HomeTrak")</f>
        <v/>
      </c>
      <c r="F3101">
        <f>HYPERLINK("http://gitlab.osmosys.co/tp/hometrak/-/merge_requests/78", "Move Staging_Development code into Development")</f>
        <v/>
      </c>
      <c r="G3101" t="inlineStr">
        <is>
          <t>Staging_Development</t>
        </is>
      </c>
      <c r="H3101" t="inlineStr">
        <is>
          <t>Development</t>
        </is>
      </c>
      <c r="I3101" t="inlineStr">
        <is>
          <t>opened</t>
        </is>
      </c>
      <c r="J3101" t="inlineStr">
        <is>
          <t>05ed033cd0843eda9ebf5af5df237a14520a8402</t>
        </is>
      </c>
      <c r="K3101">
        <f>HYPERLINK("http://gitlab.osmosys.co/tp/hometrak/-/merge_requests/78#note_241796", "Remove unwanted code")</f>
        <v/>
      </c>
      <c r="L3101" t="inlineStr">
        <is>
          <t>2025-07-25 13:06:04.231 IST</t>
        </is>
      </c>
      <c r="M3101" t="inlineStr">
        <is>
          <t>Jaswanth Lingareddy</t>
        </is>
      </c>
      <c r="N3101" t="inlineStr">
        <is>
          <t>Yes</t>
        </is>
      </c>
      <c r="O3101" t="inlineStr">
        <is>
          <t>No</t>
        </is>
      </c>
      <c r="P3101" t="inlineStr"/>
      <c r="Q3101" t="inlineStr">
        <is>
          <t>Bad</t>
        </is>
      </c>
    </row>
    <row r="3102">
      <c r="A3102" t="inlineStr">
        <is>
          <t>soumi.b</t>
        </is>
      </c>
      <c r="B3102" t="inlineStr">
        <is>
          <t>Soumi Basak</t>
        </is>
      </c>
      <c r="C3102" t="inlineStr">
        <is>
          <t>soumi.b@osmosys.co</t>
        </is>
      </c>
      <c r="D3102" t="inlineStr">
        <is>
          <t>tp</t>
        </is>
      </c>
      <c r="E3102">
        <f>HYPERLINK("http://gitlab.osmosys.co/tp/hometrak", "HomeTrak")</f>
        <v/>
      </c>
      <c r="F3102">
        <f>HYPERLINK("http://gitlab.osmosys.co/tp/hometrak/-/merge_requests/75", "Issue : Add condition to call GetCustomer api when response id is -1")</f>
        <v/>
      </c>
      <c r="G3102" t="inlineStr">
        <is>
          <t>Staging_Development</t>
        </is>
      </c>
      <c r="H3102" t="inlineStr">
        <is>
          <t>Development</t>
        </is>
      </c>
      <c r="I3102" t="inlineStr">
        <is>
          <t>merged</t>
        </is>
      </c>
      <c r="J3102" t="inlineStr"/>
      <c r="K3102" t="inlineStr"/>
      <c r="L3102" t="inlineStr"/>
      <c r="M3102" t="inlineStr"/>
      <c r="N3102" t="inlineStr"/>
      <c r="O3102" t="inlineStr"/>
      <c r="P3102" t="inlineStr"/>
      <c r="Q3102" t="inlineStr"/>
    </row>
    <row r="3103">
      <c r="A3103" t="inlineStr">
        <is>
          <t>soumi.b</t>
        </is>
      </c>
      <c r="B3103" t="inlineStr">
        <is>
          <t>Soumi Basak</t>
        </is>
      </c>
      <c r="C3103" t="inlineStr">
        <is>
          <t>soumi.b@osmosys.co</t>
        </is>
      </c>
      <c r="D3103" t="inlineStr">
        <is>
          <t>tp</t>
        </is>
      </c>
      <c r="E3103">
        <f>HYPERLINK("http://gitlab.osmosys.co/tp/hometrak", "HomeTrak")</f>
        <v/>
      </c>
      <c r="F3103">
        <f>HYPERLINK("http://gitlab.osmosys.co/tp/hometrak/-/merge_requests/74", "Issue : Add condition to call GetCustomer api when response id is -1")</f>
        <v/>
      </c>
      <c r="G3103" t="inlineStr">
        <is>
          <t>cherry-pick-22bf7956</t>
        </is>
      </c>
      <c r="H3103" t="inlineStr">
        <is>
          <t>Development</t>
        </is>
      </c>
      <c r="I3103" t="inlineStr">
        <is>
          <t>closed</t>
        </is>
      </c>
      <c r="J3103" t="inlineStr"/>
      <c r="K3103" t="inlineStr"/>
      <c r="L3103" t="inlineStr"/>
      <c r="M3103" t="inlineStr"/>
      <c r="N3103" t="inlineStr"/>
      <c r="O3103" t="inlineStr"/>
      <c r="P3103" t="inlineStr"/>
      <c r="Q3103" t="inlineStr"/>
    </row>
    <row r="3104">
      <c r="A3104" t="inlineStr">
        <is>
          <t>soumi.b</t>
        </is>
      </c>
      <c r="B3104" t="inlineStr">
        <is>
          <t>Soumi Basak</t>
        </is>
      </c>
      <c r="C3104" t="inlineStr">
        <is>
          <t>soumi.b@osmosys.co</t>
        </is>
      </c>
      <c r="D3104" t="inlineStr">
        <is>
          <t>tp</t>
        </is>
      </c>
      <c r="E3104">
        <f>HYPERLINK("http://gitlab.osmosys.co/tp/hometrak", "HomeTrak")</f>
        <v/>
      </c>
      <c r="F3104">
        <f>HYPERLINK("http://gitlab.osmosys.co/tp/hometrak/-/merge_requests/72", "Move Staging_Development code into Development")</f>
        <v/>
      </c>
      <c r="G3104" t="inlineStr">
        <is>
          <t>Staging_Development</t>
        </is>
      </c>
      <c r="H3104" t="inlineStr">
        <is>
          <t>Development</t>
        </is>
      </c>
      <c r="I3104" t="inlineStr">
        <is>
          <t>merged</t>
        </is>
      </c>
      <c r="J3104" t="inlineStr"/>
      <c r="K3104" t="inlineStr"/>
      <c r="L3104" t="inlineStr"/>
      <c r="M3104" t="inlineStr"/>
      <c r="N3104" t="inlineStr"/>
      <c r="O3104" t="inlineStr"/>
      <c r="P3104" t="inlineStr"/>
      <c r="Q3104" t="inlineStr"/>
    </row>
    <row r="3105">
      <c r="A3105" t="inlineStr">
        <is>
          <t>soumi.b</t>
        </is>
      </c>
      <c r="B3105" t="inlineStr">
        <is>
          <t>Soumi Basak</t>
        </is>
      </c>
      <c r="C3105" t="inlineStr">
        <is>
          <t>soumi.b@osmosys.co</t>
        </is>
      </c>
      <c r="D3105" t="inlineStr">
        <is>
          <t>tp</t>
        </is>
      </c>
      <c r="E3105">
        <f>HYPERLINK("http://gitlab.osmosys.co/tp/hometrak", "HomeTrak")</f>
        <v/>
      </c>
      <c r="F3105">
        <f>HYPERLINK("http://gitlab.osmosys.co/tp/hometrak/-/merge_requests/70", "Fix the issue of pagination in Invoice table")</f>
        <v/>
      </c>
      <c r="G3105" t="inlineStr">
        <is>
          <t>issue-invoice-list-pagination</t>
        </is>
      </c>
      <c r="H3105" t="inlineStr">
        <is>
          <t>Staging_Development</t>
        </is>
      </c>
      <c r="I3105" t="inlineStr">
        <is>
          <t>merged</t>
        </is>
      </c>
      <c r="J3105" t="inlineStr"/>
      <c r="K3105" t="inlineStr"/>
      <c r="L3105" t="inlineStr"/>
      <c r="M3105" t="inlineStr"/>
      <c r="N3105" t="inlineStr"/>
      <c r="O3105" t="inlineStr"/>
      <c r="P3105" t="inlineStr"/>
      <c r="Q3105" t="inlineStr"/>
    </row>
    <row r="3106">
      <c r="A3106" t="inlineStr">
        <is>
          <t>soumi.b</t>
        </is>
      </c>
      <c r="B3106" t="inlineStr">
        <is>
          <t>Soumi Basak</t>
        </is>
      </c>
      <c r="C3106" t="inlineStr">
        <is>
          <t>soumi.b@osmosys.co</t>
        </is>
      </c>
      <c r="D3106" t="inlineStr">
        <is>
          <t>tp</t>
        </is>
      </c>
      <c r="E3106">
        <f>HYPERLINK("http://gitlab.osmosys.co/tp/hometrak", "HomeTrak")</f>
        <v/>
      </c>
      <c r="F3106">
        <f>HYPERLINK("http://gitlab.osmosys.co/tp/hometrak/-/merge_requests/69", "Implement pagination in Customer and Invoice tables")</f>
        <v/>
      </c>
      <c r="G3106" t="inlineStr">
        <is>
          <t>dev-table-pagination</t>
        </is>
      </c>
      <c r="H3106" t="inlineStr">
        <is>
          <t>Staging_Development</t>
        </is>
      </c>
      <c r="I3106" t="inlineStr">
        <is>
          <t>merged</t>
        </is>
      </c>
      <c r="J3106" t="inlineStr"/>
      <c r="K3106" t="inlineStr"/>
      <c r="L3106" t="inlineStr"/>
      <c r="M3106" t="inlineStr"/>
      <c r="N3106" t="inlineStr"/>
      <c r="O3106" t="inlineStr"/>
      <c r="P3106" t="inlineStr"/>
      <c r="Q3106" t="inlineStr"/>
    </row>
    <row r="3107">
      <c r="A3107" t="inlineStr">
        <is>
          <t>soumi.b</t>
        </is>
      </c>
      <c r="B3107" t="inlineStr">
        <is>
          <t>Soumi Basak</t>
        </is>
      </c>
      <c r="C3107" t="inlineStr">
        <is>
          <t>soumi.b@osmosys.co</t>
        </is>
      </c>
      <c r="D3107" t="inlineStr">
        <is>
          <t>tp</t>
        </is>
      </c>
      <c r="E3107">
        <f>HYPERLINK("http://gitlab.osmosys.co/tp/hometrak", "HomeTrak")</f>
        <v/>
      </c>
      <c r="F3107">
        <f>HYPERLINK("http://gitlab.osmosys.co/tp/hometrak/-/merge_requests/68", "Update environment file")</f>
        <v/>
      </c>
      <c r="G3107" t="inlineStr">
        <is>
          <t>dev-update-env-files</t>
        </is>
      </c>
      <c r="H3107" t="inlineStr">
        <is>
          <t>Staging_Development</t>
        </is>
      </c>
      <c r="I3107" t="inlineStr">
        <is>
          <t>merged</t>
        </is>
      </c>
      <c r="J3107" t="inlineStr"/>
      <c r="K3107" t="inlineStr"/>
      <c r="L3107" t="inlineStr"/>
      <c r="M3107" t="inlineStr"/>
      <c r="N3107" t="inlineStr"/>
      <c r="O3107" t="inlineStr"/>
      <c r="P3107" t="inlineStr"/>
      <c r="Q3107" t="inlineStr"/>
    </row>
    <row r="3108">
      <c r="A3108" t="inlineStr">
        <is>
          <t>soumi.b</t>
        </is>
      </c>
      <c r="B3108" t="inlineStr">
        <is>
          <t>Soumi Basak</t>
        </is>
      </c>
      <c r="C3108" t="inlineStr">
        <is>
          <t>soumi.b@osmosys.co</t>
        </is>
      </c>
      <c r="D3108" t="inlineStr">
        <is>
          <t>tp</t>
        </is>
      </c>
      <c r="E3108">
        <f>HYPERLINK("http://gitlab.osmosys.co/tp/hometrak", "HomeTrak")</f>
        <v/>
      </c>
      <c r="F3108">
        <f>HYPERLINK("http://gitlab.osmosys.co/tp/hometrak/-/merge_requests/67", "Fix the issue of downloading invoices")</f>
        <v/>
      </c>
      <c r="G3108" t="inlineStr">
        <is>
          <t>dev-download-method</t>
        </is>
      </c>
      <c r="H3108" t="inlineStr">
        <is>
          <t>Staging_Development</t>
        </is>
      </c>
      <c r="I3108" t="inlineStr">
        <is>
          <t>merged</t>
        </is>
      </c>
      <c r="J3108" t="inlineStr"/>
      <c r="K3108" t="inlineStr"/>
      <c r="L3108" t="inlineStr"/>
      <c r="M3108" t="inlineStr"/>
      <c r="N3108" t="inlineStr"/>
      <c r="O3108" t="inlineStr"/>
      <c r="P3108" t="inlineStr"/>
      <c r="Q3108" t="inlineStr"/>
    </row>
    <row r="3109">
      <c r="A3109" t="inlineStr">
        <is>
          <t>soumi.b</t>
        </is>
      </c>
      <c r="B3109" t="inlineStr">
        <is>
          <t>Soumi Basak</t>
        </is>
      </c>
      <c r="C3109" t="inlineStr">
        <is>
          <t>soumi.b@osmosys.co</t>
        </is>
      </c>
      <c r="D3109" t="inlineStr">
        <is>
          <t>tp</t>
        </is>
      </c>
      <c r="E3109">
        <f>HYPERLINK("http://gitlab.osmosys.co/tp/hometrak", "HomeTrak")</f>
        <v/>
      </c>
      <c r="F3109">
        <f>HYPERLINK("http://gitlab.osmosys.co/tp/hometrak/-/merge_requests/66", "Implement HMAC authentication")</f>
        <v/>
      </c>
      <c r="G3109" t="inlineStr">
        <is>
          <t>dev-HMAC-authentication</t>
        </is>
      </c>
      <c r="H3109" t="inlineStr">
        <is>
          <t>Staging_Development</t>
        </is>
      </c>
      <c r="I3109" t="inlineStr">
        <is>
          <t>merged</t>
        </is>
      </c>
      <c r="J3109" t="inlineStr"/>
      <c r="K3109" t="inlineStr"/>
      <c r="L3109" t="inlineStr"/>
      <c r="M3109" t="inlineStr"/>
      <c r="N3109" t="inlineStr"/>
      <c r="O3109" t="inlineStr"/>
      <c r="P3109" t="inlineStr"/>
      <c r="Q3109" t="inlineStr"/>
    </row>
    <row r="3110">
      <c r="A3110" t="inlineStr">
        <is>
          <t>soumi.b</t>
        </is>
      </c>
      <c r="B3110" t="inlineStr">
        <is>
          <t>Soumi Basak</t>
        </is>
      </c>
      <c r="C3110" t="inlineStr">
        <is>
          <t>soumi.b@osmosys.co</t>
        </is>
      </c>
      <c r="D3110" t="inlineStr">
        <is>
          <t>tp</t>
        </is>
      </c>
      <c r="E3110">
        <f>HYPERLINK("http://gitlab.osmosys.co/tp/hometrak", "HomeTrak")</f>
        <v/>
      </c>
      <c r="F3110">
        <f>HYPERLINK("http://gitlab.osmosys.co/tp/hometrak/-/merge_requests/65", "Staging development")</f>
        <v/>
      </c>
      <c r="G3110" t="inlineStr">
        <is>
          <t>Staging_Development</t>
        </is>
      </c>
      <c r="H3110" t="inlineStr">
        <is>
          <t>Development</t>
        </is>
      </c>
      <c r="I3110" t="inlineStr">
        <is>
          <t>closed</t>
        </is>
      </c>
      <c r="J3110" t="inlineStr"/>
      <c r="K3110" t="inlineStr"/>
      <c r="L3110" t="inlineStr"/>
      <c r="M3110" t="inlineStr"/>
      <c r="N3110" t="inlineStr"/>
      <c r="O3110" t="inlineStr"/>
      <c r="P3110" t="inlineStr"/>
      <c r="Q3110" t="inlineStr"/>
    </row>
    <row r="3111">
      <c r="A3111" t="inlineStr">
        <is>
          <t>arun.k</t>
        </is>
      </c>
      <c r="B3111" t="inlineStr">
        <is>
          <t>Arun Kumar</t>
        </is>
      </c>
      <c r="C3111" t="inlineStr">
        <is>
          <t>arun.k@osmosys.co</t>
        </is>
      </c>
      <c r="D3111" t="inlineStr">
        <is>
          <t>tp</t>
        </is>
      </c>
      <c r="E3111">
        <f>HYPERLINK("http://gitlab.osmosys.co/tp/TalonProAPI", "TalonProAPI")</f>
        <v/>
      </c>
      <c r="F3111">
        <f>HYPERLINK("http://gitlab.osmosys.co/tp/TalonProAPI/-/merge_requests/2126", "Dev - Check Request - Add Check Request Check, ACH, CC column changes")</f>
        <v/>
      </c>
      <c r="G3111" t="inlineStr">
        <is>
          <t>Dev/check_request_changes</t>
        </is>
      </c>
      <c r="H3111" t="inlineStr">
        <is>
          <t>Staging_Development</t>
        </is>
      </c>
      <c r="I3111" t="inlineStr">
        <is>
          <t>merged</t>
        </is>
      </c>
      <c r="J3111" t="inlineStr"/>
      <c r="K3111" t="inlineStr"/>
      <c r="L3111" t="inlineStr"/>
      <c r="M3111" t="inlineStr"/>
      <c r="N3111" t="inlineStr"/>
      <c r="O3111" t="inlineStr"/>
      <c r="P3111" t="inlineStr"/>
      <c r="Q3111" t="inlineStr"/>
    </row>
    <row r="3112">
      <c r="A3112" t="inlineStr">
        <is>
          <t>arun.k</t>
        </is>
      </c>
      <c r="B3112" t="inlineStr">
        <is>
          <t>Arun Kumar</t>
        </is>
      </c>
      <c r="C3112" t="inlineStr">
        <is>
          <t>arun.k@osmosys.co</t>
        </is>
      </c>
      <c r="D3112" t="inlineStr">
        <is>
          <t>tp</t>
        </is>
      </c>
      <c r="E3112">
        <f>HYPERLINK("http://gitlab.osmosys.co/tp/TalonProAPI", "TalonProAPI")</f>
        <v/>
      </c>
      <c r="F3112">
        <f>HYPERLINK("http://gitlab.osmosys.co/tp/TalonProAPI/-/merge_requests/2103", "Reloshare - Add confirmation_number into Reloshare SLA payload")</f>
        <v/>
      </c>
      <c r="G3112" t="inlineStr">
        <is>
          <t>cherry-pick-5c846ba9-2</t>
        </is>
      </c>
      <c r="H3112" t="inlineStr">
        <is>
          <t>Staging_Development</t>
        </is>
      </c>
      <c r="I3112" t="inlineStr">
        <is>
          <t>merged</t>
        </is>
      </c>
      <c r="J3112" t="inlineStr"/>
      <c r="K3112" t="inlineStr"/>
      <c r="L3112" t="inlineStr"/>
      <c r="M3112" t="inlineStr"/>
      <c r="N3112" t="inlineStr"/>
      <c r="O3112" t="inlineStr"/>
      <c r="P3112" t="inlineStr"/>
      <c r="Q3112" t="inlineStr"/>
    </row>
    <row r="3113">
      <c r="A3113" t="inlineStr">
        <is>
          <t>arun.k</t>
        </is>
      </c>
      <c r="B3113" t="inlineStr">
        <is>
          <t>Arun Kumar</t>
        </is>
      </c>
      <c r="C3113" t="inlineStr">
        <is>
          <t>arun.k@osmosys.co</t>
        </is>
      </c>
      <c r="D3113" t="inlineStr">
        <is>
          <t>tp</t>
        </is>
      </c>
      <c r="E3113">
        <f>HYPERLINK("http://gitlab.osmosys.co/tp/TalonProAPI", "TalonProAPI")</f>
        <v/>
      </c>
      <c r="F3113">
        <f>HYPERLINK("http://gitlab.osmosys.co/tp/TalonProAPI/-/merge_requests/2102", "Reloshare - Add confirmation_number into Reloshare SLA payload")</f>
        <v/>
      </c>
      <c r="G3113" t="inlineStr">
        <is>
          <t>cherry-pick-5c846ba9</t>
        </is>
      </c>
      <c r="H3113" t="inlineStr">
        <is>
          <t>PreTest_Development</t>
        </is>
      </c>
      <c r="I3113" t="inlineStr">
        <is>
          <t>merged</t>
        </is>
      </c>
      <c r="J3113" t="inlineStr"/>
      <c r="K3113" t="inlineStr"/>
      <c r="L3113" t="inlineStr"/>
      <c r="M3113" t="inlineStr"/>
      <c r="N3113" t="inlineStr"/>
      <c r="O3113" t="inlineStr"/>
      <c r="P3113" t="inlineStr"/>
      <c r="Q3113" t="inlineStr"/>
    </row>
    <row r="3114">
      <c r="A3114" t="inlineStr">
        <is>
          <t>arun.k</t>
        </is>
      </c>
      <c r="B3114" t="inlineStr">
        <is>
          <t>Arun Kumar</t>
        </is>
      </c>
      <c r="C3114" t="inlineStr">
        <is>
          <t>arun.k@osmosys.co</t>
        </is>
      </c>
      <c r="D3114" t="inlineStr">
        <is>
          <t>tp</t>
        </is>
      </c>
      <c r="E3114">
        <f>HYPERLINK("http://gitlab.osmosys.co/tp/TalonProAPI", "TalonProAPI")</f>
        <v/>
      </c>
      <c r="F3114">
        <f>HYPERLINK("http://gitlab.osmosys.co/tp/TalonProAPI/-/merge_requests/2101", "17573 - Reloshare - Add agent note flags and confirmation_number into the SLA payload")</f>
        <v/>
      </c>
      <c r="G3114" t="inlineStr">
        <is>
          <t>Dev/agent_note_category</t>
        </is>
      </c>
      <c r="H3114" t="inlineStr">
        <is>
          <t>Live_Bridge</t>
        </is>
      </c>
      <c r="I3114" t="inlineStr">
        <is>
          <t>merged</t>
        </is>
      </c>
      <c r="J3114" t="inlineStr"/>
      <c r="K3114" t="inlineStr"/>
      <c r="L3114" t="inlineStr"/>
      <c r="M3114" t="inlineStr"/>
      <c r="N3114" t="inlineStr"/>
      <c r="O3114" t="inlineStr"/>
      <c r="P3114" t="inlineStr"/>
      <c r="Q3114" t="inlineStr"/>
    </row>
    <row r="3115">
      <c r="A3115" t="inlineStr">
        <is>
          <t>arun.k</t>
        </is>
      </c>
      <c r="B3115" t="inlineStr">
        <is>
          <t>Arun Kumar</t>
        </is>
      </c>
      <c r="C3115" t="inlineStr">
        <is>
          <t>arun.k@osmosys.co</t>
        </is>
      </c>
      <c r="D3115" t="inlineStr">
        <is>
          <t>tp</t>
        </is>
      </c>
      <c r="E3115">
        <f>HYPERLINK("http://gitlab.osmosys.co/tp/TalonProAPI", "TalonProAPI")</f>
        <v/>
      </c>
      <c r="F3115">
        <f>HYPERLINK("http://gitlab.osmosys.co/tp/TalonProAPI/-/merge_requests/2098", "Corelogic - Fix null exception in Corelogic update API")</f>
        <v/>
      </c>
      <c r="G3115" t="inlineStr">
        <is>
          <t>cherry-pick-d5d80314</t>
        </is>
      </c>
      <c r="H3115" t="inlineStr">
        <is>
          <t>PreTest_Development</t>
        </is>
      </c>
      <c r="I3115" t="inlineStr">
        <is>
          <t>merged</t>
        </is>
      </c>
      <c r="J3115" t="inlineStr"/>
      <c r="K3115" t="inlineStr"/>
      <c r="L3115" t="inlineStr"/>
      <c r="M3115" t="inlineStr"/>
      <c r="N3115" t="inlineStr"/>
      <c r="O3115" t="inlineStr"/>
      <c r="P3115" t="inlineStr"/>
      <c r="Q3115" t="inlineStr"/>
    </row>
    <row r="3116">
      <c r="A3116" t="inlineStr">
        <is>
          <t>arun.k</t>
        </is>
      </c>
      <c r="B3116" t="inlineStr">
        <is>
          <t>Arun Kumar</t>
        </is>
      </c>
      <c r="C3116" t="inlineStr">
        <is>
          <t>arun.k@osmosys.co</t>
        </is>
      </c>
      <c r="D3116" t="inlineStr">
        <is>
          <t>tp</t>
        </is>
      </c>
      <c r="E3116">
        <f>HYPERLINK("http://gitlab.osmosys.co/tp/TalonProAPI", "TalonProAPI")</f>
        <v/>
      </c>
      <c r="F3116">
        <f>HYPERLINK("http://gitlab.osmosys.co/tp/TalonProAPI/-/merge_requests/2094", "Corelogic - Add Corelogic Status update restriction as Onetime and Update Response Message changes")</f>
        <v/>
      </c>
      <c r="G3116" t="inlineStr">
        <is>
          <t>Fix/corelogic_changes</t>
        </is>
      </c>
      <c r="H3116" t="inlineStr">
        <is>
          <t>PreTest_Development</t>
        </is>
      </c>
      <c r="I3116" t="inlineStr">
        <is>
          <t>merged</t>
        </is>
      </c>
      <c r="J3116" t="inlineStr"/>
      <c r="K3116" t="inlineStr"/>
      <c r="L3116" t="inlineStr"/>
      <c r="M3116" t="inlineStr"/>
      <c r="N3116" t="inlineStr"/>
      <c r="O3116" t="inlineStr"/>
      <c r="P3116" t="inlineStr"/>
      <c r="Q3116" t="inlineStr"/>
    </row>
    <row r="3117">
      <c r="A3117" t="inlineStr">
        <is>
          <t>arun.k</t>
        </is>
      </c>
      <c r="B3117" t="inlineStr">
        <is>
          <t>Arun Kumar</t>
        </is>
      </c>
      <c r="C3117" t="inlineStr">
        <is>
          <t>arun.k@osmosys.co</t>
        </is>
      </c>
      <c r="D3117" t="inlineStr">
        <is>
          <t>tp</t>
        </is>
      </c>
      <c r="E3117">
        <f>HYPERLINK("http://gitlab.osmosys.co/tp/TalonProAPI", "TalonProAPI")</f>
        <v/>
      </c>
      <c r="F3117">
        <f>HYPERLINK("http://gitlab.osmosys.co/tp/TalonProAPI/-/merge_requests/2090", "CoreLogic - Add CoreLogic pop up auto populate changes")</f>
        <v/>
      </c>
      <c r="G3117" t="inlineStr">
        <is>
          <t>Dev/corelgoic_auto_poopulate</t>
        </is>
      </c>
      <c r="H3117" t="inlineStr">
        <is>
          <t>PreTest_Development</t>
        </is>
      </c>
      <c r="I3117" t="inlineStr">
        <is>
          <t>merged</t>
        </is>
      </c>
      <c r="J3117" t="inlineStr"/>
      <c r="K3117" t="inlineStr"/>
      <c r="L3117" t="inlineStr"/>
      <c r="M3117" t="inlineStr"/>
      <c r="N3117" t="inlineStr"/>
      <c r="O3117" t="inlineStr"/>
      <c r="P3117" t="inlineStr"/>
      <c r="Q3117" t="inlineStr"/>
    </row>
    <row r="3118">
      <c r="A3118" t="inlineStr">
        <is>
          <t>arun.k</t>
        </is>
      </c>
      <c r="B3118" t="inlineStr">
        <is>
          <t>Arun Kumar</t>
        </is>
      </c>
      <c r="C3118" t="inlineStr">
        <is>
          <t>arun.k@osmosys.co</t>
        </is>
      </c>
      <c r="D3118" t="inlineStr">
        <is>
          <t>tp</t>
        </is>
      </c>
      <c r="E3118">
        <f>HYPERLINK("http://gitlab.osmosys.co/tp/TalonProAPI", "TalonProAPI")</f>
        <v/>
      </c>
      <c r="F3118">
        <f>HYPERLINK("http://gitlab.osmosys.co/tp/TalonProAPI/-/merge_requests/2089", "CoreLogic - Add CoreLogic pop up auto populate changes")</f>
        <v/>
      </c>
      <c r="G3118" t="inlineStr">
        <is>
          <t>Dev/auto_populate_cl_popup</t>
        </is>
      </c>
      <c r="H3118" t="inlineStr">
        <is>
          <t>Staging_Development</t>
        </is>
      </c>
      <c r="I3118" t="inlineStr">
        <is>
          <t>merged</t>
        </is>
      </c>
      <c r="J3118" t="inlineStr"/>
      <c r="K3118" t="inlineStr"/>
      <c r="L3118" t="inlineStr"/>
      <c r="M3118" t="inlineStr"/>
      <c r="N3118" t="inlineStr"/>
      <c r="O3118" t="inlineStr"/>
      <c r="P3118" t="inlineStr"/>
      <c r="Q3118" t="inlineStr"/>
    </row>
    <row r="3119">
      <c r="A3119" t="inlineStr">
        <is>
          <t>arun.k</t>
        </is>
      </c>
      <c r="B3119" t="inlineStr">
        <is>
          <t>Arun Kumar</t>
        </is>
      </c>
      <c r="C3119" t="inlineStr">
        <is>
          <t>arun.k@osmosys.co</t>
        </is>
      </c>
      <c r="D3119" t="inlineStr">
        <is>
          <t>tp</t>
        </is>
      </c>
      <c r="E3119">
        <f>HYPERLINK("http://gitlab.osmosys.co/tp/TalonProAPI", "TalonProAPI")</f>
        <v/>
      </c>
      <c r="F3119">
        <f>HYPERLINK("http://gitlab.osmosys.co/tp/TalonProAPI/-/merge_requests/2083", "Add default time fix for the Tourdate and TimetoContact")</f>
        <v/>
      </c>
      <c r="G3119" t="inlineStr">
        <is>
          <t>cherry-pick-ce1450f3</t>
        </is>
      </c>
      <c r="H3119" t="inlineStr">
        <is>
          <t>Staging_Development</t>
        </is>
      </c>
      <c r="I3119" t="inlineStr">
        <is>
          <t>merged</t>
        </is>
      </c>
      <c r="J3119" t="inlineStr"/>
      <c r="K3119" t="inlineStr"/>
      <c r="L3119" t="inlineStr"/>
      <c r="M3119" t="inlineStr"/>
      <c r="N3119" t="inlineStr"/>
      <c r="O3119" t="inlineStr"/>
      <c r="P3119" t="inlineStr"/>
      <c r="Q3119" t="inlineStr"/>
    </row>
    <row r="3120">
      <c r="A3120" t="inlineStr">
        <is>
          <t>arun.k</t>
        </is>
      </c>
      <c r="B3120" t="inlineStr">
        <is>
          <t>Arun Kumar</t>
        </is>
      </c>
      <c r="C3120" t="inlineStr">
        <is>
          <t>arun.k@osmosys.co</t>
        </is>
      </c>
      <c r="D3120" t="inlineStr">
        <is>
          <t>tp</t>
        </is>
      </c>
      <c r="E3120">
        <f>HYPERLINK("http://gitlab.osmosys.co/tp/TalonProAPI", "TalonProAPI")</f>
        <v/>
      </c>
      <c r="F3120">
        <f>HYPERLINK("http://gitlab.osmosys.co/tp/TalonProAPI/-/merge_requests/2081", "17497 - Add Sub Assignment creation based on Parent Assignment ID instead Assignment ID")</f>
        <v/>
      </c>
      <c r="G3120" t="inlineStr">
        <is>
          <t>Fix/17497_sub_assignment</t>
        </is>
      </c>
      <c r="H3120" t="inlineStr">
        <is>
          <t>Staging_Development</t>
        </is>
      </c>
      <c r="I3120" t="inlineStr">
        <is>
          <t>merged</t>
        </is>
      </c>
      <c r="J3120" t="inlineStr"/>
      <c r="K3120" t="inlineStr"/>
      <c r="L3120" t="inlineStr"/>
      <c r="M3120" t="inlineStr"/>
      <c r="N3120" t="inlineStr"/>
      <c r="O3120" t="inlineStr"/>
      <c r="P3120" t="inlineStr"/>
      <c r="Q3120" t="inlineStr"/>
    </row>
    <row r="3121">
      <c r="A3121" t="inlineStr">
        <is>
          <t>arun.k</t>
        </is>
      </c>
      <c r="B3121" t="inlineStr">
        <is>
          <t>Arun Kumar</t>
        </is>
      </c>
      <c r="C3121" t="inlineStr">
        <is>
          <t>arun.k@osmosys.co</t>
        </is>
      </c>
      <c r="D3121" t="inlineStr">
        <is>
          <t>tp</t>
        </is>
      </c>
      <c r="E3121">
        <f>HYPERLINK("http://gitlab.osmosys.co/tp/TalonProAPI", "TalonProAPI")</f>
        <v/>
      </c>
      <c r="F3121">
        <f>HYPERLINK("http://gitlab.osmosys.co/tp/TalonProAPI/-/merge_requests/2077", "17497 - Add CoreLogic assignmet/sub-assognment creation changes")</f>
        <v/>
      </c>
      <c r="G3121" t="inlineStr">
        <is>
          <t>Dev/T17497_add_assignments_to_corelogic</t>
        </is>
      </c>
      <c r="H3121" t="inlineStr">
        <is>
          <t>PreTest_Development</t>
        </is>
      </c>
      <c r="I3121" t="inlineStr">
        <is>
          <t>closed</t>
        </is>
      </c>
      <c r="J3121" t="inlineStr"/>
      <c r="K3121" t="inlineStr"/>
      <c r="L3121" t="inlineStr"/>
      <c r="M3121" t="inlineStr"/>
      <c r="N3121" t="inlineStr"/>
      <c r="O3121" t="inlineStr"/>
      <c r="P3121" t="inlineStr"/>
      <c r="Q3121" t="inlineStr"/>
    </row>
    <row r="3122">
      <c r="A3122" t="inlineStr">
        <is>
          <t>arun.k</t>
        </is>
      </c>
      <c r="B3122" t="inlineStr">
        <is>
          <t>Arun Kumar</t>
        </is>
      </c>
      <c r="C3122" t="inlineStr">
        <is>
          <t>arun.k@osmosys.co</t>
        </is>
      </c>
      <c r="D3122" t="inlineStr">
        <is>
          <t>tp</t>
        </is>
      </c>
      <c r="E3122">
        <f>HYPERLINK("http://gitlab.osmosys.co/tp/TalonProAPI", "TalonProAPI")</f>
        <v/>
      </c>
      <c r="F3122">
        <f>HYPERLINK("http://gitlab.osmosys.co/tp/TalonProAPI/-/merge_requests/2076", "Add CoreLogic Assignment, Status and Document upload Changes")</f>
        <v/>
      </c>
      <c r="G3122" t="inlineStr">
        <is>
          <t>Dev/corelgic_assignment_changes</t>
        </is>
      </c>
      <c r="H3122" t="inlineStr">
        <is>
          <t>Staging_Development</t>
        </is>
      </c>
      <c r="I3122" t="inlineStr">
        <is>
          <t>merged</t>
        </is>
      </c>
      <c r="J3122" t="inlineStr"/>
      <c r="K3122" t="inlineStr"/>
      <c r="L3122" t="inlineStr"/>
      <c r="M3122" t="inlineStr"/>
      <c r="N3122" t="inlineStr"/>
      <c r="O3122" t="inlineStr"/>
      <c r="P3122" t="inlineStr"/>
      <c r="Q3122" t="inlineStr"/>
    </row>
    <row r="3123">
      <c r="A3123" t="inlineStr">
        <is>
          <t>arun.k</t>
        </is>
      </c>
      <c r="B3123" t="inlineStr">
        <is>
          <t>Arun Kumar</t>
        </is>
      </c>
      <c r="C3123" t="inlineStr">
        <is>
          <t>arun.k@osmosys.co</t>
        </is>
      </c>
      <c r="D3123" t="inlineStr">
        <is>
          <t>tp</t>
        </is>
      </c>
      <c r="E3123">
        <f>HYPERLINK("http://gitlab.osmosys.co/tp/TalonProAPI", "TalonProAPI")</f>
        <v/>
      </c>
      <c r="F3123">
        <f>HYPERLINK("http://gitlab.osmosys.co/tp/TalonProAPI/-/merge_requests/2070", "17573 - Add SLA issue note category changes")</f>
        <v/>
      </c>
      <c r="G3123" t="inlineStr">
        <is>
          <t>Dev/17573_agent_note_flags</t>
        </is>
      </c>
      <c r="H3123" t="inlineStr">
        <is>
          <t>PreTest_Development</t>
        </is>
      </c>
      <c r="I3123" t="inlineStr">
        <is>
          <t>merged</t>
        </is>
      </c>
      <c r="J3123" t="inlineStr"/>
      <c r="K3123" t="inlineStr"/>
      <c r="L3123" t="inlineStr"/>
      <c r="M3123" t="inlineStr"/>
      <c r="N3123" t="inlineStr"/>
      <c r="O3123" t="inlineStr"/>
      <c r="P3123" t="inlineStr"/>
      <c r="Q3123" t="inlineStr"/>
    </row>
    <row r="3124">
      <c r="A3124" t="inlineStr">
        <is>
          <t>arun.k</t>
        </is>
      </c>
      <c r="B3124" t="inlineStr">
        <is>
          <t>Arun Kumar</t>
        </is>
      </c>
      <c r="C3124" t="inlineStr">
        <is>
          <t>arun.k@osmosys.co</t>
        </is>
      </c>
      <c r="D3124" t="inlineStr">
        <is>
          <t>tp</t>
        </is>
      </c>
      <c r="E3124">
        <f>HYPERLINK("http://gitlab.osmosys.co/tp/TalonProAPI", "TalonProAPI")</f>
        <v/>
      </c>
      <c r="F3124">
        <f>HYPERLINK("http://gitlab.osmosys.co/tp/TalonProAPI/-/merge_requests/2050", "17237 - Add CoreLogic column in the documents pop up")</f>
        <v/>
      </c>
      <c r="G3124" t="inlineStr">
        <is>
          <t>cherry-pick-ea52089f</t>
        </is>
      </c>
      <c r="H3124" t="inlineStr">
        <is>
          <t>PreTest_Development</t>
        </is>
      </c>
      <c r="I3124" t="inlineStr">
        <is>
          <t>merged</t>
        </is>
      </c>
      <c r="J3124" t="inlineStr"/>
      <c r="K3124" t="inlineStr"/>
      <c r="L3124" t="inlineStr"/>
      <c r="M3124" t="inlineStr"/>
      <c r="N3124" t="inlineStr"/>
      <c r="O3124" t="inlineStr"/>
      <c r="P3124" t="inlineStr"/>
      <c r="Q3124" t="inlineStr"/>
    </row>
    <row r="3125">
      <c r="A3125" t="inlineStr">
        <is>
          <t>arun.k</t>
        </is>
      </c>
      <c r="B3125" t="inlineStr">
        <is>
          <t>Arun Kumar</t>
        </is>
      </c>
      <c r="C3125" t="inlineStr">
        <is>
          <t>arun.k@osmosys.co</t>
        </is>
      </c>
      <c r="D3125" t="inlineStr">
        <is>
          <t>tp</t>
        </is>
      </c>
      <c r="E3125">
        <f>HYPERLINK("http://gitlab.osmosys.co/tp/TalonProAPI", "TalonProAPI")</f>
        <v/>
      </c>
      <c r="F3125">
        <f>HYPERLINK("http://gitlab.osmosys.co/tp/TalonProAPI/-/merge_requests/2049", "Dev - Remove Mitigation Work Started CoreLogic status update")</f>
        <v/>
      </c>
      <c r="G3125" t="inlineStr">
        <is>
          <t>cherry-pick-acf15b38</t>
        </is>
      </c>
      <c r="H3125" t="inlineStr">
        <is>
          <t>PreTest_Development</t>
        </is>
      </c>
      <c r="I3125" t="inlineStr">
        <is>
          <t>merged</t>
        </is>
      </c>
      <c r="J3125" t="inlineStr"/>
      <c r="K3125" t="inlineStr"/>
      <c r="L3125" t="inlineStr"/>
      <c r="M3125" t="inlineStr"/>
      <c r="N3125" t="inlineStr"/>
      <c r="O3125" t="inlineStr"/>
      <c r="P3125" t="inlineStr"/>
      <c r="Q3125" t="inlineStr"/>
    </row>
    <row r="3126">
      <c r="A3126" t="inlineStr">
        <is>
          <t>arun.k</t>
        </is>
      </c>
      <c r="B3126" t="inlineStr">
        <is>
          <t>Arun Kumar</t>
        </is>
      </c>
      <c r="C3126" t="inlineStr">
        <is>
          <t>arun.k@osmosys.co</t>
        </is>
      </c>
      <c r="D3126" t="inlineStr">
        <is>
          <t>tp</t>
        </is>
      </c>
      <c r="E3126">
        <f>HYPERLINK("http://gitlab.osmosys.co/tp/TalonProAPI", "TalonProAPI")</f>
        <v/>
      </c>
      <c r="F3126">
        <f>HYPERLINK("http://gitlab.osmosys.co/tp/TalonProAPI/-/merge_requests/2047", "17237 - Add CoreLogic document upload API")</f>
        <v/>
      </c>
      <c r="G3126" t="inlineStr">
        <is>
          <t>Dev/T17237_corelogic_document</t>
        </is>
      </c>
      <c r="H3126" t="inlineStr">
        <is>
          <t>PreTest_Development</t>
        </is>
      </c>
      <c r="I3126" t="inlineStr">
        <is>
          <t>merged</t>
        </is>
      </c>
      <c r="J3126" t="inlineStr">
        <is>
          <t>0412f2bc320c520eb80f52d01c8fe14b7c5bba45</t>
        </is>
      </c>
      <c r="K3126">
        <f>HYPERLINK("http://gitlab.osmosys.co/tp/TalonProAPI/-/merge_requests/2047#note_231562", "This should be in Error message")</f>
        <v/>
      </c>
      <c r="L3126" t="inlineStr">
        <is>
          <t>2025-07-03 12:43:37.263 IST</t>
        </is>
      </c>
      <c r="M3126" t="inlineStr">
        <is>
          <t xml:space="preserve">Mandali Harshavardhan </t>
        </is>
      </c>
      <c r="N3126" t="inlineStr">
        <is>
          <t>Yes</t>
        </is>
      </c>
      <c r="O3126" t="inlineStr">
        <is>
          <t>Yes</t>
        </is>
      </c>
      <c r="P3126" t="inlineStr">
        <is>
          <t xml:space="preserve">Mandali Harshavardhan </t>
        </is>
      </c>
      <c r="Q3126" t="inlineStr">
        <is>
          <t>Bad</t>
        </is>
      </c>
    </row>
    <row r="3127">
      <c r="A3127" t="inlineStr">
        <is>
          <t>arun.k</t>
        </is>
      </c>
      <c r="B3127" t="inlineStr">
        <is>
          <t>Arun Kumar</t>
        </is>
      </c>
      <c r="C3127" t="inlineStr">
        <is>
          <t>arun.k@osmosys.co</t>
        </is>
      </c>
      <c r="D3127" t="inlineStr">
        <is>
          <t>tp</t>
        </is>
      </c>
      <c r="E3127">
        <f>HYPERLINK("http://gitlab.osmosys.co/tp/TalonProAPI", "TalonProAPI")</f>
        <v/>
      </c>
      <c r="F3127">
        <f>HYPERLINK("http://gitlab.osmosys.co/tp/TalonProAPI/-/merge_requests/2047", "17237 - Add CoreLogic document upload API")</f>
        <v/>
      </c>
      <c r="G3127" t="inlineStr">
        <is>
          <t>Dev/T17237_corelogic_document</t>
        </is>
      </c>
      <c r="H3127" t="inlineStr">
        <is>
          <t>PreTest_Development</t>
        </is>
      </c>
      <c r="I3127" t="inlineStr">
        <is>
          <t>merged</t>
        </is>
      </c>
      <c r="J3127" t="inlineStr">
        <is>
          <t>587e50aa6fa78a225b0de37ec90e733fb7a2fe0f</t>
        </is>
      </c>
      <c r="K3127">
        <f>HYPERLINK("http://gitlab.osmosys.co/tp/TalonProAPI/-/merge_requests/2047#note_231563", "Change to ErrorMessage")</f>
        <v/>
      </c>
      <c r="L3127" t="inlineStr">
        <is>
          <t>2025-07-03 12:44:16.543 IST</t>
        </is>
      </c>
      <c r="M3127" t="inlineStr">
        <is>
          <t xml:space="preserve">Mandali Harshavardhan </t>
        </is>
      </c>
      <c r="N3127" t="inlineStr">
        <is>
          <t>Yes</t>
        </is>
      </c>
      <c r="O3127" t="inlineStr">
        <is>
          <t>Yes</t>
        </is>
      </c>
      <c r="P3127" t="inlineStr">
        <is>
          <t xml:space="preserve">Mandali Harshavardhan </t>
        </is>
      </c>
      <c r="Q3127" t="inlineStr">
        <is>
          <t>Bad</t>
        </is>
      </c>
    </row>
    <row r="3128">
      <c r="A3128" t="inlineStr">
        <is>
          <t>arun.k</t>
        </is>
      </c>
      <c r="B3128" t="inlineStr">
        <is>
          <t>Arun Kumar</t>
        </is>
      </c>
      <c r="C3128" t="inlineStr">
        <is>
          <t>arun.k@osmosys.co</t>
        </is>
      </c>
      <c r="D3128" t="inlineStr">
        <is>
          <t>tp</t>
        </is>
      </c>
      <c r="E3128">
        <f>HYPERLINK("http://gitlab.osmosys.co/tp/TalonProAPI", "TalonProAPI")</f>
        <v/>
      </c>
      <c r="F3128">
        <f>HYPERLINK("http://gitlab.osmosys.co/tp/TalonProAPI/-/merge_requests/2047", "17237 - Add CoreLogic document upload API")</f>
        <v/>
      </c>
      <c r="G3128" t="inlineStr">
        <is>
          <t>Dev/T17237_corelogic_document</t>
        </is>
      </c>
      <c r="H3128" t="inlineStr">
        <is>
          <t>PreTest_Development</t>
        </is>
      </c>
      <c r="I3128" t="inlineStr">
        <is>
          <t>merged</t>
        </is>
      </c>
      <c r="J3128" t="inlineStr">
        <is>
          <t>eba9e12f0ba220ac93a629a7d7bae59395fe4f67</t>
        </is>
      </c>
      <c r="K3128">
        <f>HYPERLINK("http://gitlab.osmosys.co/tp/TalonProAPI/-/merge_requests/2047#note_231564", "Change to ErrorMessage")</f>
        <v/>
      </c>
      <c r="L3128" t="inlineStr">
        <is>
          <t>2025-07-03 12:44:42.470 IST</t>
        </is>
      </c>
      <c r="M3128" t="inlineStr">
        <is>
          <t xml:space="preserve">Mandali Harshavardhan </t>
        </is>
      </c>
      <c r="N3128" t="inlineStr">
        <is>
          <t>Yes</t>
        </is>
      </c>
      <c r="O3128" t="inlineStr">
        <is>
          <t>Yes</t>
        </is>
      </c>
      <c r="P3128" t="inlineStr">
        <is>
          <t xml:space="preserve">Mandali Harshavardhan </t>
        </is>
      </c>
      <c r="Q3128" t="inlineStr">
        <is>
          <t>Bad</t>
        </is>
      </c>
    </row>
    <row r="3129">
      <c r="A3129" t="inlineStr">
        <is>
          <t>arun.k</t>
        </is>
      </c>
      <c r="B3129" t="inlineStr">
        <is>
          <t>Arun Kumar</t>
        </is>
      </c>
      <c r="C3129" t="inlineStr">
        <is>
          <t>arun.k@osmosys.co</t>
        </is>
      </c>
      <c r="D3129" t="inlineStr">
        <is>
          <t>tp</t>
        </is>
      </c>
      <c r="E3129">
        <f>HYPERLINK("http://gitlab.osmosys.co/tp/TalonProAPI", "TalonProAPI")</f>
        <v/>
      </c>
      <c r="F3129">
        <f>HYPERLINK("http://gitlab.osmosys.co/tp/TalonProAPI/-/merge_requests/2047", "17237 - Add CoreLogic document upload API")</f>
        <v/>
      </c>
      <c r="G3129" t="inlineStr">
        <is>
          <t>Dev/T17237_corelogic_document</t>
        </is>
      </c>
      <c r="H3129" t="inlineStr">
        <is>
          <t>PreTest_Development</t>
        </is>
      </c>
      <c r="I3129" t="inlineStr">
        <is>
          <t>merged</t>
        </is>
      </c>
      <c r="J3129" t="inlineStr">
        <is>
          <t>cfa06c8fdc65b547d0907c434e5f2f7c6ac0e363</t>
        </is>
      </c>
      <c r="K3129">
        <f>HYPERLINK("http://gitlab.osmosys.co/tp/TalonProAPI/-/merge_requests/2047#note_231565", "Can you move this token to Config")</f>
        <v/>
      </c>
      <c r="L3129" t="inlineStr">
        <is>
          <t>2025-07-03 12:45:22.570 IST</t>
        </is>
      </c>
      <c r="M3129" t="inlineStr">
        <is>
          <t xml:space="preserve">Mandali Harshavardhan </t>
        </is>
      </c>
      <c r="N3129" t="inlineStr">
        <is>
          <t>Yes</t>
        </is>
      </c>
      <c r="O3129" t="inlineStr">
        <is>
          <t>Yes</t>
        </is>
      </c>
      <c r="P3129" t="inlineStr">
        <is>
          <t xml:space="preserve">Mandali Harshavardhan </t>
        </is>
      </c>
      <c r="Q3129" t="inlineStr">
        <is>
          <t>Bad</t>
        </is>
      </c>
    </row>
    <row r="3130">
      <c r="A3130" t="inlineStr">
        <is>
          <t>arun.k</t>
        </is>
      </c>
      <c r="B3130" t="inlineStr">
        <is>
          <t>Arun Kumar</t>
        </is>
      </c>
      <c r="C3130" t="inlineStr">
        <is>
          <t>arun.k@osmosys.co</t>
        </is>
      </c>
      <c r="D3130" t="inlineStr">
        <is>
          <t>tp</t>
        </is>
      </c>
      <c r="E3130">
        <f>HYPERLINK("http://gitlab.osmosys.co/tp/TalonProAPI", "TalonProAPI")</f>
        <v/>
      </c>
      <c r="F3130">
        <f>HYPERLINK("http://gitlab.osmosys.co/tp/TalonProAPI/-/merge_requests/2047", "17237 - Add CoreLogic document upload API")</f>
        <v/>
      </c>
      <c r="G3130" t="inlineStr">
        <is>
          <t>Dev/T17237_corelogic_document</t>
        </is>
      </c>
      <c r="H3130" t="inlineStr">
        <is>
          <t>PreTest_Development</t>
        </is>
      </c>
      <c r="I3130" t="inlineStr">
        <is>
          <t>merged</t>
        </is>
      </c>
      <c r="J3130" t="inlineStr">
        <is>
          <t>760f0261fa5b25f2bac78ec9e7c6b7e6001d3947</t>
        </is>
      </c>
      <c r="K3130">
        <f>HYPERLINK("http://gitlab.osmosys.co/tp/TalonProAPI/-/merge_requests/2047#note_231566", "Change it to parameterized query")</f>
        <v/>
      </c>
      <c r="L3130" t="inlineStr">
        <is>
          <t>2025-07-03 12:46:17.484 IST</t>
        </is>
      </c>
      <c r="M3130" t="inlineStr">
        <is>
          <t xml:space="preserve">Mandali Harshavardhan </t>
        </is>
      </c>
      <c r="N3130" t="inlineStr">
        <is>
          <t>Yes</t>
        </is>
      </c>
      <c r="O3130" t="inlineStr">
        <is>
          <t>Yes</t>
        </is>
      </c>
      <c r="P3130" t="inlineStr">
        <is>
          <t xml:space="preserve">Mandali Harshavardhan </t>
        </is>
      </c>
      <c r="Q3130" t="inlineStr">
        <is>
          <t>Bad</t>
        </is>
      </c>
    </row>
    <row r="3131">
      <c r="A3131" t="inlineStr">
        <is>
          <t>arun.k</t>
        </is>
      </c>
      <c r="B3131" t="inlineStr">
        <is>
          <t>Arun Kumar</t>
        </is>
      </c>
      <c r="C3131" t="inlineStr">
        <is>
          <t>arun.k@osmosys.co</t>
        </is>
      </c>
      <c r="D3131" t="inlineStr">
        <is>
          <t>tp</t>
        </is>
      </c>
      <c r="E3131">
        <f>HYPERLINK("http://gitlab.osmosys.co/tp/TalonProAPI", "TalonProAPI")</f>
        <v/>
      </c>
      <c r="F3131">
        <f>HYPERLINK("http://gitlab.osmosys.co/tp/TalonProAPI/-/merge_requests/2047", "17237 - Add CoreLogic document upload API")</f>
        <v/>
      </c>
      <c r="G3131" t="inlineStr">
        <is>
          <t>Dev/T17237_corelogic_document</t>
        </is>
      </c>
      <c r="H3131" t="inlineStr">
        <is>
          <t>PreTest_Development</t>
        </is>
      </c>
      <c r="I3131" t="inlineStr">
        <is>
          <t>merged</t>
        </is>
      </c>
      <c r="J3131" t="inlineStr">
        <is>
          <t>2bf12c86e48ea6810955ff0949b9d23835ab1be3</t>
        </is>
      </c>
      <c r="K3131">
        <f>HYPERLINK("http://gitlab.osmosys.co/tp/TalonProAPI/-/merge_requests/2047#note_231567", "Change to parameterized query")</f>
        <v/>
      </c>
      <c r="L3131" t="inlineStr">
        <is>
          <t>2025-07-03 12:46:30.108 IST</t>
        </is>
      </c>
      <c r="M3131" t="inlineStr">
        <is>
          <t xml:space="preserve">Mandali Harshavardhan </t>
        </is>
      </c>
      <c r="N3131" t="inlineStr">
        <is>
          <t>Yes</t>
        </is>
      </c>
      <c r="O3131" t="inlineStr">
        <is>
          <t>Yes</t>
        </is>
      </c>
      <c r="P3131" t="inlineStr">
        <is>
          <t xml:space="preserve">Mandali Harshavardhan </t>
        </is>
      </c>
      <c r="Q3131" t="inlineStr">
        <is>
          <t>Bad</t>
        </is>
      </c>
    </row>
    <row r="3132">
      <c r="A3132" t="inlineStr">
        <is>
          <t>arun.k</t>
        </is>
      </c>
      <c r="B3132" t="inlineStr">
        <is>
          <t>Arun Kumar</t>
        </is>
      </c>
      <c r="C3132" t="inlineStr">
        <is>
          <t>arun.k@osmosys.co</t>
        </is>
      </c>
      <c r="D3132" t="inlineStr">
        <is>
          <t>tp</t>
        </is>
      </c>
      <c r="E3132">
        <f>HYPERLINK("http://gitlab.osmosys.co/tp/TalonProAPI", "TalonProAPI")</f>
        <v/>
      </c>
      <c r="F3132">
        <f>HYPERLINK("http://gitlab.osmosys.co/tp/TalonProAPI/-/merge_requests/2047", "17237 - Add CoreLogic document upload API")</f>
        <v/>
      </c>
      <c r="G3132" t="inlineStr">
        <is>
          <t>Dev/T17237_corelogic_document</t>
        </is>
      </c>
      <c r="H3132" t="inlineStr">
        <is>
          <t>PreTest_Development</t>
        </is>
      </c>
      <c r="I3132" t="inlineStr">
        <is>
          <t>merged</t>
        </is>
      </c>
      <c r="J3132" t="inlineStr">
        <is>
          <t>c2872e94b0ec1880571e66e84d7248fb42c336cd</t>
        </is>
      </c>
      <c r="K3132">
        <f>HYPERLINK("http://gitlab.osmosys.co/tp/TalonProAPI/-/merge_requests/2047#note_231568", "@arun.k Update the changes and let me know")</f>
        <v/>
      </c>
      <c r="L3132" t="inlineStr">
        <is>
          <t>2025-07-03 12:49:37.279 IST</t>
        </is>
      </c>
      <c r="M3132" t="inlineStr">
        <is>
          <t xml:space="preserve">Mandali Harshavardhan </t>
        </is>
      </c>
      <c r="N3132" t="inlineStr">
        <is>
          <t>Yes</t>
        </is>
      </c>
      <c r="O3132" t="inlineStr">
        <is>
          <t>No</t>
        </is>
      </c>
      <c r="P3132" t="inlineStr"/>
      <c r="Q3132" t="inlineStr">
        <is>
          <t>Bad</t>
        </is>
      </c>
    </row>
    <row r="3133">
      <c r="A3133" t="inlineStr">
        <is>
          <t>arun.k</t>
        </is>
      </c>
      <c r="B3133" t="inlineStr">
        <is>
          <t>Arun Kumar</t>
        </is>
      </c>
      <c r="C3133" t="inlineStr">
        <is>
          <t>arun.k@osmosys.co</t>
        </is>
      </c>
      <c r="D3133" t="inlineStr">
        <is>
          <t>tp</t>
        </is>
      </c>
      <c r="E3133">
        <f>HYPERLINK("http://gitlab.osmosys.co/tp/TalonProAPI", "TalonProAPI")</f>
        <v/>
      </c>
      <c r="F3133">
        <f>HYPERLINK("http://gitlab.osmosys.co/tp/TalonProAPI/-/merge_requests/2047", "17237 - Add CoreLogic document upload API")</f>
        <v/>
      </c>
      <c r="G3133" t="inlineStr">
        <is>
          <t>Dev/T17237_corelogic_document</t>
        </is>
      </c>
      <c r="H3133" t="inlineStr">
        <is>
          <t>PreTest_Development</t>
        </is>
      </c>
      <c r="I3133" t="inlineStr">
        <is>
          <t>merged</t>
        </is>
      </c>
      <c r="J3133" t="inlineStr">
        <is>
          <t>5ead998d724b06e2b3678f358fcbe77b59f066e3</t>
        </is>
      </c>
      <c r="K3133">
        <f>HYPERLINK("http://gitlab.osmosys.co/tp/TalonProAPI/-/merge_requests/2047#note_231643", "Key name is wrong!!")</f>
        <v/>
      </c>
      <c r="L3133" t="inlineStr">
        <is>
          <t>2025-07-03 15:55:28.075 IST</t>
        </is>
      </c>
      <c r="M3133" t="inlineStr">
        <is>
          <t xml:space="preserve">Mandali Harshavardhan </t>
        </is>
      </c>
      <c r="N3133" t="inlineStr">
        <is>
          <t>Yes</t>
        </is>
      </c>
      <c r="O3133" t="inlineStr">
        <is>
          <t>Yes</t>
        </is>
      </c>
      <c r="P3133" t="inlineStr">
        <is>
          <t xml:space="preserve">Mandali Harshavardhan </t>
        </is>
      </c>
      <c r="Q3133" t="inlineStr">
        <is>
          <t>Bad</t>
        </is>
      </c>
    </row>
    <row r="3134">
      <c r="A3134" t="inlineStr">
        <is>
          <t>arun.k</t>
        </is>
      </c>
      <c r="B3134" t="inlineStr">
        <is>
          <t>Arun Kumar</t>
        </is>
      </c>
      <c r="C3134" t="inlineStr">
        <is>
          <t>arun.k@osmosys.co</t>
        </is>
      </c>
      <c r="D3134" t="inlineStr">
        <is>
          <t>tp</t>
        </is>
      </c>
      <c r="E3134">
        <f>HYPERLINK("http://gitlab.osmosys.co/tp/CorelogicAPI", "CorelogicAPI")</f>
        <v/>
      </c>
      <c r="F3134">
        <f>HYPERLINK("http://gitlab.osmosys.co/tp/CorelogicAPI/-/merge_requests/4", "17237 - Add CoreLogic document upload API")</f>
        <v/>
      </c>
      <c r="G3134" t="inlineStr">
        <is>
          <t>Dev/upload_document_to_corelogic</t>
        </is>
      </c>
      <c r="H3134" t="inlineStr">
        <is>
          <t>Dev/add_hotel_files</t>
        </is>
      </c>
      <c r="I3134" t="inlineStr">
        <is>
          <t>opened</t>
        </is>
      </c>
      <c r="J3134" t="inlineStr"/>
      <c r="K3134" t="inlineStr"/>
      <c r="L3134" t="inlineStr"/>
      <c r="M3134" t="inlineStr"/>
      <c r="N3134" t="inlineStr"/>
      <c r="O3134" t="inlineStr"/>
      <c r="P3134" t="inlineStr"/>
      <c r="Q3134" t="inlineStr"/>
    </row>
    <row r="3135">
      <c r="A3135" t="inlineStr">
        <is>
          <t>lakhan.b</t>
        </is>
      </c>
      <c r="B3135" t="inlineStr">
        <is>
          <t>Lakhan Badure</t>
        </is>
      </c>
      <c r="C3135" t="inlineStr">
        <is>
          <t>lakhan.b@osmosys.co</t>
        </is>
      </c>
      <c r="D3135" t="inlineStr">
        <is>
          <t>incident-reporter</t>
        </is>
      </c>
      <c r="E3135">
        <f>HYPERLINK("http://gitlab.osmosys.co/incident-reporter/incident-reporter-api", "OQSHA-API")</f>
        <v/>
      </c>
      <c r="F3135">
        <f>HYPERLINK("http://gitlab.osmosys.co/incident-reporter/incident-reporter-api/-/merge_requests/4475", "feat: get incident management request list")</f>
        <v/>
      </c>
      <c r="G3135" t="inlineStr">
        <is>
          <t>feat/get-incident-management-request-list</t>
        </is>
      </c>
      <c r="H3135" t="inlineStr">
        <is>
          <t>sprint-19</t>
        </is>
      </c>
      <c r="I3135" t="inlineStr">
        <is>
          <t>merged</t>
        </is>
      </c>
      <c r="J3135" t="inlineStr"/>
      <c r="K3135" t="inlineStr"/>
      <c r="L3135" t="inlineStr"/>
      <c r="M3135" t="inlineStr"/>
      <c r="N3135" t="inlineStr"/>
      <c r="O3135" t="inlineStr"/>
      <c r="P3135" t="inlineStr"/>
      <c r="Q3135" t="inlineStr"/>
    </row>
    <row r="3136">
      <c r="A3136" t="inlineStr">
        <is>
          <t>lakhan.b</t>
        </is>
      </c>
      <c r="B3136" t="inlineStr">
        <is>
          <t>Lakhan Badure</t>
        </is>
      </c>
      <c r="C3136" t="inlineStr">
        <is>
          <t>lakhan.b@osmosys.co</t>
        </is>
      </c>
      <c r="D3136" t="inlineStr">
        <is>
          <t>incident-reporter</t>
        </is>
      </c>
      <c r="E3136">
        <f>HYPERLINK("http://gitlab.osmosys.co/incident-reporter/incident-reporter-api", "OQSHA-API")</f>
        <v/>
      </c>
      <c r="F3136">
        <f>HYPERLINK("http://gitlab.osmosys.co/incident-reporter/incident-reporter-api/-/merge_requests/4465", "feat: add investigation team creation feature")</f>
        <v/>
      </c>
      <c r="G3136" t="inlineStr">
        <is>
          <t>feat/create-fir-team</t>
        </is>
      </c>
      <c r="H3136" t="inlineStr">
        <is>
          <t>sprint-19</t>
        </is>
      </c>
      <c r="I3136" t="inlineStr">
        <is>
          <t>merged</t>
        </is>
      </c>
      <c r="J3136" t="inlineStr"/>
      <c r="K3136" t="inlineStr"/>
      <c r="L3136" t="inlineStr"/>
      <c r="M3136" t="inlineStr"/>
      <c r="N3136" t="inlineStr"/>
      <c r="O3136" t="inlineStr"/>
      <c r="P3136" t="inlineStr"/>
      <c r="Q3136" t="inlineStr"/>
    </row>
    <row r="3137">
      <c r="A3137" t="inlineStr">
        <is>
          <t>lakhan.b</t>
        </is>
      </c>
      <c r="B3137" t="inlineStr">
        <is>
          <t>Lakhan Badure</t>
        </is>
      </c>
      <c r="C3137" t="inlineStr">
        <is>
          <t>lakhan.b@osmosys.co</t>
        </is>
      </c>
      <c r="D3137" t="inlineStr">
        <is>
          <t>incident-reporter</t>
        </is>
      </c>
      <c r="E3137">
        <f>HYPERLINK("http://gitlab.osmosys.co/incident-reporter/incident-reporter-api", "OQSHA-API")</f>
        <v/>
      </c>
      <c r="F3137">
        <f>HYPERLINK("http://gitlab.osmosys.co/incident-reporter/incident-reporter-api/-/merge_requests/4455", "feat: add get plant KPI config &amp; details API")</f>
        <v/>
      </c>
      <c r="G3137" t="inlineStr">
        <is>
          <t>feat/get-kpi-plant</t>
        </is>
      </c>
      <c r="H3137" t="inlineStr">
        <is>
          <t>sprint-19</t>
        </is>
      </c>
      <c r="I3137" t="inlineStr">
        <is>
          <t>merged</t>
        </is>
      </c>
      <c r="J3137" t="inlineStr">
        <is>
          <t>c54a14c0cda999a4902460c8d1f35a545cd5bcef</t>
        </is>
      </c>
      <c r="K3137">
        <f>HYPERLINK("http://gitlab.osmosys.co/incident-reporter/incident-reporter-api/-/merge_requests/4455#note_246400", "This should say "Plant Kpi"")</f>
        <v/>
      </c>
      <c r="L3137" t="inlineStr">
        <is>
          <t>2025-08-02 17:07:54.814 IST</t>
        </is>
      </c>
      <c r="M3137" t="inlineStr">
        <is>
          <t>Sindhusha</t>
        </is>
      </c>
      <c r="N3137" t="inlineStr">
        <is>
          <t>Yes</t>
        </is>
      </c>
      <c r="O3137" t="inlineStr">
        <is>
          <t>Yes</t>
        </is>
      </c>
      <c r="P3137" t="inlineStr">
        <is>
          <t>Sindhusha</t>
        </is>
      </c>
      <c r="Q3137" t="inlineStr">
        <is>
          <t>Bad</t>
        </is>
      </c>
    </row>
    <row r="3138">
      <c r="A3138" t="inlineStr">
        <is>
          <t>lakhan.b</t>
        </is>
      </c>
      <c r="B3138" t="inlineStr">
        <is>
          <t>Lakhan Badure</t>
        </is>
      </c>
      <c r="C3138" t="inlineStr">
        <is>
          <t>lakhan.b@osmosys.co</t>
        </is>
      </c>
      <c r="D3138" t="inlineStr">
        <is>
          <t>incident-reporter</t>
        </is>
      </c>
      <c r="E3138">
        <f>HYPERLINK("http://gitlab.osmosys.co/incident-reporter/incident-reporter-api", "OQSHA-API")</f>
        <v/>
      </c>
      <c r="F3138">
        <f>HYPERLINK("http://gitlab.osmosys.co/incident-reporter/incident-reporter-api/-/merge_requests/4455", "feat: add get plant KPI config &amp; details API")</f>
        <v/>
      </c>
      <c r="G3138" t="inlineStr">
        <is>
          <t>feat/get-kpi-plant</t>
        </is>
      </c>
      <c r="H3138" t="inlineStr">
        <is>
          <t>sprint-19</t>
        </is>
      </c>
      <c r="I3138" t="inlineStr">
        <is>
          <t>merged</t>
        </is>
      </c>
      <c r="J3138" t="inlineStr">
        <is>
          <t>352b32a7a03f073f369b2e5e7ceb1fc22034e53a</t>
        </is>
      </c>
      <c r="K3138">
        <f>HYPERLINK("http://gitlab.osmosys.co/incident-reporter/incident-reporter-api/-/merge_requests/4455#note_246401", "Remove "Basic"")</f>
        <v/>
      </c>
      <c r="L3138" t="inlineStr">
        <is>
          <t>2025-08-02 17:10:10.269 IST</t>
        </is>
      </c>
      <c r="M3138" t="inlineStr">
        <is>
          <t>Sindhusha</t>
        </is>
      </c>
      <c r="N3138" t="inlineStr">
        <is>
          <t>Yes</t>
        </is>
      </c>
      <c r="O3138" t="inlineStr">
        <is>
          <t>Yes</t>
        </is>
      </c>
      <c r="P3138" t="inlineStr">
        <is>
          <t>Sindhusha</t>
        </is>
      </c>
      <c r="Q3138" t="inlineStr">
        <is>
          <t>Bad</t>
        </is>
      </c>
    </row>
    <row r="3139">
      <c r="A3139" t="inlineStr">
        <is>
          <t>lakhan.b</t>
        </is>
      </c>
      <c r="B3139" t="inlineStr">
        <is>
          <t>Lakhan Badure</t>
        </is>
      </c>
      <c r="C3139" t="inlineStr">
        <is>
          <t>lakhan.b@osmosys.co</t>
        </is>
      </c>
      <c r="D3139" t="inlineStr">
        <is>
          <t>incident-reporter</t>
        </is>
      </c>
      <c r="E3139">
        <f>HYPERLINK("http://gitlab.osmosys.co/incident-reporter/incident-reporter-api", "OQSHA-API")</f>
        <v/>
      </c>
      <c r="F3139">
        <f>HYPERLINK("http://gitlab.osmosys.co/incident-reporter/incident-reporter-api/-/merge_requests/4455", "feat: add get plant KPI config &amp; details API")</f>
        <v/>
      </c>
      <c r="G3139" t="inlineStr">
        <is>
          <t>feat/get-kpi-plant</t>
        </is>
      </c>
      <c r="H3139" t="inlineStr">
        <is>
          <t>sprint-19</t>
        </is>
      </c>
      <c r="I3139" t="inlineStr">
        <is>
          <t>merged</t>
        </is>
      </c>
      <c r="J3139" t="inlineStr">
        <is>
          <t>3010dbd753f899d1f0128608905182204c380be6</t>
        </is>
      </c>
      <c r="K3139">
        <f>HYPERLINK("http://gitlab.osmosys.co/incident-reporter/incident-reporter-api/-/merge_requests/4455#note_246402", "Update this function name - GetPlantKpiMasterGrid")</f>
        <v/>
      </c>
      <c r="L3139" t="inlineStr">
        <is>
          <t>2025-08-02 17:10:37.972 IST</t>
        </is>
      </c>
      <c r="M3139" t="inlineStr">
        <is>
          <t>Sindhusha</t>
        </is>
      </c>
      <c r="N3139" t="inlineStr">
        <is>
          <t>Yes</t>
        </is>
      </c>
      <c r="O3139" t="inlineStr">
        <is>
          <t>Yes</t>
        </is>
      </c>
      <c r="P3139" t="inlineStr">
        <is>
          <t>Sindhusha</t>
        </is>
      </c>
      <c r="Q3139" t="inlineStr">
        <is>
          <t>Bad</t>
        </is>
      </c>
    </row>
    <row r="3140">
      <c r="A3140" t="inlineStr">
        <is>
          <t>lakhan.b</t>
        </is>
      </c>
      <c r="B3140" t="inlineStr">
        <is>
          <t>Lakhan Badure</t>
        </is>
      </c>
      <c r="C3140" t="inlineStr">
        <is>
          <t>lakhan.b@osmosys.co</t>
        </is>
      </c>
      <c r="D3140" t="inlineStr">
        <is>
          <t>incident-reporter</t>
        </is>
      </c>
      <c r="E3140">
        <f>HYPERLINK("http://gitlab.osmosys.co/incident-reporter/incident-reporter-api", "OQSHA-API")</f>
        <v/>
      </c>
      <c r="F3140">
        <f>HYPERLINK("http://gitlab.osmosys.co/incident-reporter/incident-reporter-api/-/merge_requests/4455", "feat: add get plant KPI config &amp; details API")</f>
        <v/>
      </c>
      <c r="G3140" t="inlineStr">
        <is>
          <t>feat/get-kpi-plant</t>
        </is>
      </c>
      <c r="H3140" t="inlineStr">
        <is>
          <t>sprint-19</t>
        </is>
      </c>
      <c r="I3140" t="inlineStr">
        <is>
          <t>merged</t>
        </is>
      </c>
      <c r="J3140" t="inlineStr">
        <is>
          <t>3752ff6719d183d89353786232897cf1a7847572</t>
        </is>
      </c>
      <c r="K3140">
        <f>HYPERLINK("http://gitlab.osmosys.co/incident-reporter/incident-reporter-api/-/merge_requests/4455#note_246403", "Create new PR for these changes. Merging this for now.")</f>
        <v/>
      </c>
      <c r="L3140" t="inlineStr">
        <is>
          <t>2025-08-02 17:11:59.618 IST</t>
        </is>
      </c>
      <c r="M3140" t="inlineStr">
        <is>
          <t>Sindhusha</t>
        </is>
      </c>
      <c r="N3140" t="inlineStr">
        <is>
          <t>Yes</t>
        </is>
      </c>
      <c r="O3140" t="inlineStr">
        <is>
          <t>No</t>
        </is>
      </c>
      <c r="P3140" t="inlineStr"/>
      <c r="Q3140" t="inlineStr">
        <is>
          <t>Bad</t>
        </is>
      </c>
    </row>
    <row r="3141">
      <c r="A3141" t="inlineStr">
        <is>
          <t>lakhan.b</t>
        </is>
      </c>
      <c r="B3141" t="inlineStr">
        <is>
          <t>Lakhan Badure</t>
        </is>
      </c>
      <c r="C3141" t="inlineStr">
        <is>
          <t>lakhan.b@osmosys.co</t>
        </is>
      </c>
      <c r="D3141" t="inlineStr">
        <is>
          <t>incident-reporter</t>
        </is>
      </c>
      <c r="E3141">
        <f>HYPERLINK("http://gitlab.osmosys.co/incident-reporter/incident-reporter-api", "OQSHA-API")</f>
        <v/>
      </c>
      <c r="F3141">
        <f>HYPERLINK("http://gitlab.osmosys.co/incident-reporter/incident-reporter-api/-/merge_requests/4450", "fix: add fluent migration fix for KIP")</f>
        <v/>
      </c>
      <c r="G3141" t="inlineStr">
        <is>
          <t>fix/FM-migration-kpi</t>
        </is>
      </c>
      <c r="H3141" t="inlineStr">
        <is>
          <t>sprint-19</t>
        </is>
      </c>
      <c r="I3141" t="inlineStr">
        <is>
          <t>merged</t>
        </is>
      </c>
      <c r="J3141" t="inlineStr"/>
      <c r="K3141" t="inlineStr"/>
      <c r="L3141" t="inlineStr"/>
      <c r="M3141" t="inlineStr"/>
      <c r="N3141" t="inlineStr"/>
      <c r="O3141" t="inlineStr"/>
      <c r="P3141" t="inlineStr"/>
      <c r="Q3141" t="inlineStr"/>
    </row>
    <row r="3142">
      <c r="A3142" t="inlineStr">
        <is>
          <t>lakhan.b</t>
        </is>
      </c>
      <c r="B3142" t="inlineStr">
        <is>
          <t>Lakhan Badure</t>
        </is>
      </c>
      <c r="C3142" t="inlineStr">
        <is>
          <t>lakhan.b@osmosys.co</t>
        </is>
      </c>
      <c r="D3142" t="inlineStr">
        <is>
          <t>incident-reporter</t>
        </is>
      </c>
      <c r="E3142">
        <f>HYPERLINK("http://gitlab.osmosys.co/incident-reporter/incident-reporter-api", "OQSHA-API")</f>
        <v/>
      </c>
      <c r="F3142">
        <f>HYPERLINK("http://gitlab.osmosys.co/incident-reporter/incident-reporter-api/-/merge_requests/4438", "feat: add get API routes for KPI plant and its config")</f>
        <v/>
      </c>
      <c r="G3142" t="inlineStr">
        <is>
          <t>feat/get-plant-kpi</t>
        </is>
      </c>
      <c r="H3142" t="inlineStr">
        <is>
          <t>sprint-19</t>
        </is>
      </c>
      <c r="I3142" t="inlineStr">
        <is>
          <t>opened</t>
        </is>
      </c>
      <c r="J3142" t="inlineStr"/>
      <c r="K3142" t="inlineStr"/>
      <c r="L3142" t="inlineStr"/>
      <c r="M3142" t="inlineStr"/>
      <c r="N3142" t="inlineStr"/>
      <c r="O3142" t="inlineStr"/>
      <c r="P3142" t="inlineStr"/>
      <c r="Q3142" t="inlineStr"/>
    </row>
    <row r="3143">
      <c r="A3143" t="inlineStr">
        <is>
          <t>lakhan.b</t>
        </is>
      </c>
      <c r="B3143" t="inlineStr">
        <is>
          <t>Lakhan Badure</t>
        </is>
      </c>
      <c r="C3143" t="inlineStr">
        <is>
          <t>lakhan.b@osmosys.co</t>
        </is>
      </c>
      <c r="D3143" t="inlineStr">
        <is>
          <t>incident-reporter</t>
        </is>
      </c>
      <c r="E3143">
        <f>HYPERLINK("http://gitlab.osmosys.co/incident-reporter/incident-reporter-api", "OQSHA-API")</f>
        <v/>
      </c>
      <c r="F3143">
        <f>HYPERLINK("http://gitlab.osmosys.co/incident-reporter/incident-reporter-api/-/merge_requests/4429", "fix: add get api to fetch user related KPI")</f>
        <v/>
      </c>
      <c r="G3143" t="inlineStr">
        <is>
          <t>feat/fetch-user-kpi-master</t>
        </is>
      </c>
      <c r="H3143" t="inlineStr">
        <is>
          <t>sprint-19</t>
        </is>
      </c>
      <c r="I3143" t="inlineStr">
        <is>
          <t>merged</t>
        </is>
      </c>
      <c r="J3143" t="inlineStr">
        <is>
          <t>ec26dcfb8ae6874ec8d7ee1e98458af7a2882177</t>
        </is>
      </c>
      <c r="K3143">
        <f>HYPERLINK("http://gitlab.osmosys.co/incident-reporter/incident-reporter-api/-/merge_requests/4429#note_245399", "Do the processing in Bll - move out logic from repo function")</f>
        <v/>
      </c>
      <c r="L3143" t="inlineStr">
        <is>
          <t>2025-08-01 14:34:42.244 IST</t>
        </is>
      </c>
      <c r="M3143" t="inlineStr">
        <is>
          <t>Harish</t>
        </is>
      </c>
      <c r="N3143" t="inlineStr">
        <is>
          <t>Yes</t>
        </is>
      </c>
      <c r="O3143" t="inlineStr">
        <is>
          <t>Yes</t>
        </is>
      </c>
      <c r="P3143" t="inlineStr">
        <is>
          <t>Harish</t>
        </is>
      </c>
      <c r="Q3143" t="inlineStr">
        <is>
          <t>Bad</t>
        </is>
      </c>
    </row>
    <row r="3144">
      <c r="A3144" t="inlineStr">
        <is>
          <t>lakhan.b</t>
        </is>
      </c>
      <c r="B3144" t="inlineStr">
        <is>
          <t>Lakhan Badure</t>
        </is>
      </c>
      <c r="C3144" t="inlineStr">
        <is>
          <t>lakhan.b@osmosys.co</t>
        </is>
      </c>
      <c r="D3144" t="inlineStr">
        <is>
          <t>incident-reporter</t>
        </is>
      </c>
      <c r="E3144">
        <f>HYPERLINK("http://gitlab.osmosys.co/incident-reporter/incident-reporter-api", "OQSHA-API")</f>
        <v/>
      </c>
      <c r="F3144">
        <f>HYPERLINK("http://gitlab.osmosys.co/incident-reporter/incident-reporter-api/-/merge_requests/4429", "fix: add get api to fetch user related KPI")</f>
        <v/>
      </c>
      <c r="G3144" t="inlineStr">
        <is>
          <t>feat/fetch-user-kpi-master</t>
        </is>
      </c>
      <c r="H3144" t="inlineStr">
        <is>
          <t>sprint-19</t>
        </is>
      </c>
      <c r="I3144" t="inlineStr">
        <is>
          <t>merged</t>
        </is>
      </c>
      <c r="J3144" t="inlineStr">
        <is>
          <t>ec26dcfb8ae6874ec8d7ee1e98458af7a2882177</t>
        </is>
      </c>
      <c r="K3144">
        <f>HYPERLINK("http://gitlab.osmosys.co/incident-reporter/incident-reporter-api/-/merge_requests/4429#note_245817", "Done processing in BLL")</f>
        <v/>
      </c>
      <c r="L3144" t="inlineStr">
        <is>
          <t>2025-08-01 19:40:31.161 IST</t>
        </is>
      </c>
      <c r="M3144" t="inlineStr">
        <is>
          <t>Lakhan Badure</t>
        </is>
      </c>
      <c r="N3144" t="inlineStr">
        <is>
          <t>No</t>
        </is>
      </c>
      <c r="O3144" t="inlineStr">
        <is>
          <t>Yes</t>
        </is>
      </c>
      <c r="P3144" t="inlineStr">
        <is>
          <t>Harish</t>
        </is>
      </c>
      <c r="Q3144" t="inlineStr">
        <is>
          <t>Bad</t>
        </is>
      </c>
    </row>
    <row r="3145">
      <c r="A3145" t="inlineStr">
        <is>
          <t>lakhan.b</t>
        </is>
      </c>
      <c r="B3145" t="inlineStr">
        <is>
          <t>Lakhan Badure</t>
        </is>
      </c>
      <c r="C3145" t="inlineStr">
        <is>
          <t>lakhan.b@osmosys.co</t>
        </is>
      </c>
      <c r="D3145" t="inlineStr">
        <is>
          <t>incident-reporter</t>
        </is>
      </c>
      <c r="E3145">
        <f>HYPERLINK("http://gitlab.osmosys.co/incident-reporter/incident-reporter-api", "OQSHA-API")</f>
        <v/>
      </c>
      <c r="F3145">
        <f>HYPERLINK("http://gitlab.osmosys.co/incident-reporter/incident-reporter-api/-/merge_requests/4429", "fix: add get api to fetch user related KPI")</f>
        <v/>
      </c>
      <c r="G3145" t="inlineStr">
        <is>
          <t>feat/fetch-user-kpi-master</t>
        </is>
      </c>
      <c r="H3145" t="inlineStr">
        <is>
          <t>sprint-19</t>
        </is>
      </c>
      <c r="I3145" t="inlineStr">
        <is>
          <t>merged</t>
        </is>
      </c>
      <c r="J3145" t="inlineStr">
        <is>
          <t>71039683648e932e135efae00ebf877405180a9c</t>
        </is>
      </c>
      <c r="K3145">
        <f>HYPERLINK("http://gitlab.osmosys.co/incident-reporter/incident-reporter-api/-/merge_requests/4429#note_245401", "Use error constant we have to these messages")</f>
        <v/>
      </c>
      <c r="L3145" t="inlineStr">
        <is>
          <t>2025-08-01 14:35:33.726 IST</t>
        </is>
      </c>
      <c r="M3145" t="inlineStr">
        <is>
          <t>Harish</t>
        </is>
      </c>
      <c r="N3145" t="inlineStr">
        <is>
          <t>Yes</t>
        </is>
      </c>
      <c r="O3145" t="inlineStr">
        <is>
          <t>Yes</t>
        </is>
      </c>
      <c r="P3145" t="inlineStr">
        <is>
          <t>Harish</t>
        </is>
      </c>
      <c r="Q3145" t="inlineStr">
        <is>
          <t>Neutral</t>
        </is>
      </c>
    </row>
    <row r="3146">
      <c r="A3146" t="inlineStr">
        <is>
          <t>lakhan.b</t>
        </is>
      </c>
      <c r="B3146" t="inlineStr">
        <is>
          <t>Lakhan Badure</t>
        </is>
      </c>
      <c r="C3146" t="inlineStr">
        <is>
          <t>lakhan.b@osmosys.co</t>
        </is>
      </c>
      <c r="D3146" t="inlineStr">
        <is>
          <t>incident-reporter</t>
        </is>
      </c>
      <c r="E3146">
        <f>HYPERLINK("http://gitlab.osmosys.co/incident-reporter/incident-reporter-api", "OQSHA-API")</f>
        <v/>
      </c>
      <c r="F3146">
        <f>HYPERLINK("http://gitlab.osmosys.co/incident-reporter/incident-reporter-api/-/merge_requests/4429", "fix: add get api to fetch user related KPI")</f>
        <v/>
      </c>
      <c r="G3146" t="inlineStr">
        <is>
          <t>feat/fetch-user-kpi-master</t>
        </is>
      </c>
      <c r="H3146" t="inlineStr">
        <is>
          <t>sprint-19</t>
        </is>
      </c>
      <c r="I3146" t="inlineStr">
        <is>
          <t>merged</t>
        </is>
      </c>
      <c r="J3146" t="inlineStr">
        <is>
          <t>71039683648e932e135efae00ebf877405180a9c</t>
        </is>
      </c>
      <c r="K3146">
        <f>HYPERLINK("http://gitlab.osmosys.co/incident-reporter/incident-reporter-api/-/merge_requests/4429#note_245658", "This seems to be duplicate comment")</f>
        <v/>
      </c>
      <c r="L3146" t="inlineStr">
        <is>
          <t>2025-08-01 17:29:54.714 IST</t>
        </is>
      </c>
      <c r="M3146" t="inlineStr">
        <is>
          <t>Lakhan Badure</t>
        </is>
      </c>
      <c r="N3146" t="inlineStr">
        <is>
          <t>No</t>
        </is>
      </c>
      <c r="O3146" t="inlineStr">
        <is>
          <t>Yes</t>
        </is>
      </c>
      <c r="P3146" t="inlineStr">
        <is>
          <t>Harish</t>
        </is>
      </c>
      <c r="Q3146" t="inlineStr">
        <is>
          <t>Neutral</t>
        </is>
      </c>
    </row>
    <row r="3147">
      <c r="A3147" t="inlineStr">
        <is>
          <t>lakhan.b</t>
        </is>
      </c>
      <c r="B3147" t="inlineStr">
        <is>
          <t>Lakhan Badure</t>
        </is>
      </c>
      <c r="C3147" t="inlineStr">
        <is>
          <t>lakhan.b@osmosys.co</t>
        </is>
      </c>
      <c r="D3147" t="inlineStr">
        <is>
          <t>incident-reporter</t>
        </is>
      </c>
      <c r="E3147">
        <f>HYPERLINK("http://gitlab.osmosys.co/incident-reporter/incident-reporter-api", "OQSHA-API")</f>
        <v/>
      </c>
      <c r="F3147">
        <f>HYPERLINK("http://gitlab.osmosys.co/incident-reporter/incident-reporter-api/-/merge_requests/4429", "fix: add get api to fetch user related KPI")</f>
        <v/>
      </c>
      <c r="G3147" t="inlineStr">
        <is>
          <t>feat/fetch-user-kpi-master</t>
        </is>
      </c>
      <c r="H3147" t="inlineStr">
        <is>
          <t>sprint-19</t>
        </is>
      </c>
      <c r="I3147" t="inlineStr">
        <is>
          <t>merged</t>
        </is>
      </c>
      <c r="J3147" t="inlineStr">
        <is>
          <t>22828b53c7e56fd1c99991ec47643eb0375af628</t>
        </is>
      </c>
      <c r="K3147">
        <f>HYPERLINK("http://gitlab.osmosys.co/incident-reporter/incident-reporter-api/-/merge_requests/4429#note_245747", "We need the join with user_kpi_master_config (c) because there's no direct relationship between user_kpis and user_kpi_master the start_date and end_date are fetched from the user_kpi_master table")</f>
        <v/>
      </c>
      <c r="L3147" t="inlineStr">
        <is>
          <t>2025-08-01 18:54:31.197 IST</t>
        </is>
      </c>
      <c r="M3147" t="inlineStr">
        <is>
          <t>Lakhan Badure</t>
        </is>
      </c>
      <c r="N3147" t="inlineStr">
        <is>
          <t>No</t>
        </is>
      </c>
      <c r="O3147" t="inlineStr">
        <is>
          <t>Yes</t>
        </is>
      </c>
      <c r="P3147" t="inlineStr">
        <is>
          <t>Sameer Shaik</t>
        </is>
      </c>
      <c r="Q3147" t="inlineStr">
        <is>
          <t>Neutral</t>
        </is>
      </c>
    </row>
    <row r="3148">
      <c r="A3148" t="inlineStr">
        <is>
          <t>lakhan.b</t>
        </is>
      </c>
      <c r="B3148" t="inlineStr">
        <is>
          <t>Lakhan Badure</t>
        </is>
      </c>
      <c r="C3148" t="inlineStr">
        <is>
          <t>lakhan.b@osmosys.co</t>
        </is>
      </c>
      <c r="D3148" t="inlineStr">
        <is>
          <t>incident-reporter</t>
        </is>
      </c>
      <c r="E3148">
        <f>HYPERLINK("http://gitlab.osmosys.co/incident-reporter/incident-reporter-api", "OQSHA-API")</f>
        <v/>
      </c>
      <c r="F3148">
        <f>HYPERLINK("http://gitlab.osmosys.co/incident-reporter/incident-reporter-api/-/merge_requests/4425", "feat: add acm module configs for KPI")</f>
        <v/>
      </c>
      <c r="G3148" t="inlineStr">
        <is>
          <t>feat/add-acm-module-kpi</t>
        </is>
      </c>
      <c r="H3148" t="inlineStr">
        <is>
          <t>sprint-19</t>
        </is>
      </c>
      <c r="I3148" t="inlineStr">
        <is>
          <t>merged</t>
        </is>
      </c>
      <c r="J3148" t="inlineStr">
        <is>
          <t>c900220fc24c5f4313cb44f15b5721282f6ed4b4</t>
        </is>
      </c>
      <c r="K3148">
        <f>HYPERLINK("http://gitlab.osmosys.co/incident-reporter/incident-reporter-api/-/merge_requests/4425#note_245421", "update namespace to sprint_19")</f>
        <v/>
      </c>
      <c r="L3148" t="inlineStr">
        <is>
          <t>2025-08-01 14:47:16.288 IST</t>
        </is>
      </c>
      <c r="M3148" t="inlineStr">
        <is>
          <t>Harish</t>
        </is>
      </c>
      <c r="N3148" t="inlineStr">
        <is>
          <t>Yes</t>
        </is>
      </c>
      <c r="O3148" t="inlineStr">
        <is>
          <t>Yes</t>
        </is>
      </c>
      <c r="P3148" t="inlineStr">
        <is>
          <t>Sindhusha</t>
        </is>
      </c>
      <c r="Q3148" t="inlineStr">
        <is>
          <t>Bad</t>
        </is>
      </c>
    </row>
    <row r="3149">
      <c r="A3149" t="inlineStr">
        <is>
          <t>lakhan.b</t>
        </is>
      </c>
      <c r="B3149" t="inlineStr">
        <is>
          <t>Lakhan Badure</t>
        </is>
      </c>
      <c r="C3149" t="inlineStr">
        <is>
          <t>lakhan.b@osmosys.co</t>
        </is>
      </c>
      <c r="D3149" t="inlineStr">
        <is>
          <t>incident-reporter</t>
        </is>
      </c>
      <c r="E3149">
        <f>HYPERLINK("http://gitlab.osmosys.co/incident-reporter/incident-reporter-api", "OQSHA-API")</f>
        <v/>
      </c>
      <c r="F3149">
        <f>HYPERLINK("http://gitlab.osmosys.co/incident-reporter/incident-reporter-api/-/merge_requests/4425", "feat: add acm module configs for KPI")</f>
        <v/>
      </c>
      <c r="G3149" t="inlineStr">
        <is>
          <t>feat/add-acm-module-kpi</t>
        </is>
      </c>
      <c r="H3149" t="inlineStr">
        <is>
          <t>sprint-19</t>
        </is>
      </c>
      <c r="I3149" t="inlineStr">
        <is>
          <t>merged</t>
        </is>
      </c>
      <c r="J3149" t="inlineStr">
        <is>
          <t>c900220fc24c5f4313cb44f15b5721282f6ed4b4</t>
        </is>
      </c>
      <c r="K3149">
        <f>HYPERLINK("http://gitlab.osmosys.co/incident-reporter/incident-reporter-api/-/merge_requests/4425#note_245514", "fixed")</f>
        <v/>
      </c>
      <c r="L3149" t="inlineStr">
        <is>
          <t>2025-08-01 16:02:42.928 IST</t>
        </is>
      </c>
      <c r="M3149" t="inlineStr">
        <is>
          <t>Lakhan Badure</t>
        </is>
      </c>
      <c r="N3149" t="inlineStr">
        <is>
          <t>No</t>
        </is>
      </c>
      <c r="O3149" t="inlineStr">
        <is>
          <t>Yes</t>
        </is>
      </c>
      <c r="P3149" t="inlineStr">
        <is>
          <t>Sindhusha</t>
        </is>
      </c>
      <c r="Q3149" t="inlineStr">
        <is>
          <t>Bad</t>
        </is>
      </c>
    </row>
    <row r="3150">
      <c r="A3150" t="inlineStr">
        <is>
          <t>lakhan.b</t>
        </is>
      </c>
      <c r="B3150" t="inlineStr">
        <is>
          <t>Lakhan Badure</t>
        </is>
      </c>
      <c r="C3150" t="inlineStr">
        <is>
          <t>lakhan.b@osmosys.co</t>
        </is>
      </c>
      <c r="D3150" t="inlineStr">
        <is>
          <t>incident-reporter</t>
        </is>
      </c>
      <c r="E3150">
        <f>HYPERLINK("http://gitlab.osmosys.co/incident-reporter/incident-reporter-api", "OQSHA-API")</f>
        <v/>
      </c>
      <c r="F3150">
        <f>HYPERLINK("http://gitlab.osmosys.co/incident-reporter/incident-reporter-api/-/merge_requests/4425", "feat: add acm module configs for KPI")</f>
        <v/>
      </c>
      <c r="G3150" t="inlineStr">
        <is>
          <t>feat/add-acm-module-kpi</t>
        </is>
      </c>
      <c r="H3150" t="inlineStr">
        <is>
          <t>sprint-19</t>
        </is>
      </c>
      <c r="I3150" t="inlineStr">
        <is>
          <t>merged</t>
        </is>
      </c>
      <c r="J3150" t="inlineStr">
        <is>
          <t>dc2aa0118cc59a60ef7ad79b57e7006ea90ff831</t>
        </is>
      </c>
      <c r="K3150">
        <f>HYPERLINK("http://gitlab.osmosys.co/incident-reporter/incident-reporter-api/-/merge_requests/4425#note_245422", "why employee medical is present in this")</f>
        <v/>
      </c>
      <c r="L3150" t="inlineStr">
        <is>
          <t>2025-08-01 14:47:56.909 IST</t>
        </is>
      </c>
      <c r="M3150" t="inlineStr">
        <is>
          <t>Harish</t>
        </is>
      </c>
      <c r="N3150" t="inlineStr">
        <is>
          <t>Yes</t>
        </is>
      </c>
      <c r="O3150" t="inlineStr">
        <is>
          <t>Yes</t>
        </is>
      </c>
      <c r="P3150" t="inlineStr">
        <is>
          <t>Sindhusha</t>
        </is>
      </c>
      <c r="Q3150" t="inlineStr">
        <is>
          <t>Bad</t>
        </is>
      </c>
    </row>
    <row r="3151">
      <c r="A3151" t="inlineStr">
        <is>
          <t>lakhan.b</t>
        </is>
      </c>
      <c r="B3151" t="inlineStr">
        <is>
          <t>Lakhan Badure</t>
        </is>
      </c>
      <c r="C3151" t="inlineStr">
        <is>
          <t>lakhan.b@osmosys.co</t>
        </is>
      </c>
      <c r="D3151" t="inlineStr">
        <is>
          <t>incident-reporter</t>
        </is>
      </c>
      <c r="E3151">
        <f>HYPERLINK("http://gitlab.osmosys.co/incident-reporter/incident-reporter-api", "OQSHA-API")</f>
        <v/>
      </c>
      <c r="F3151">
        <f>HYPERLINK("http://gitlab.osmosys.co/incident-reporter/incident-reporter-api/-/merge_requests/4425", "feat: add acm module configs for KPI")</f>
        <v/>
      </c>
      <c r="G3151" t="inlineStr">
        <is>
          <t>feat/add-acm-module-kpi</t>
        </is>
      </c>
      <c r="H3151" t="inlineStr">
        <is>
          <t>sprint-19</t>
        </is>
      </c>
      <c r="I3151" t="inlineStr">
        <is>
          <t>merged</t>
        </is>
      </c>
      <c r="J3151" t="inlineStr">
        <is>
          <t>dc2aa0118cc59a60ef7ad79b57e7006ea90ff831</t>
        </is>
      </c>
      <c r="K3151">
        <f>HYPERLINK("http://gitlab.osmosys.co/incident-reporter/incident-reporter-api/-/merge_requests/4425#note_245511", "fixed")</f>
        <v/>
      </c>
      <c r="L3151" t="inlineStr">
        <is>
          <t>2025-08-01 16:01:51.518 IST</t>
        </is>
      </c>
      <c r="M3151" t="inlineStr">
        <is>
          <t>Lakhan Badure</t>
        </is>
      </c>
      <c r="N3151" t="inlineStr">
        <is>
          <t>No</t>
        </is>
      </c>
      <c r="O3151" t="inlineStr">
        <is>
          <t>Yes</t>
        </is>
      </c>
      <c r="P3151" t="inlineStr">
        <is>
          <t>Sindhusha</t>
        </is>
      </c>
      <c r="Q3151" t="inlineStr">
        <is>
          <t>Bad</t>
        </is>
      </c>
    </row>
    <row r="3152">
      <c r="A3152" t="inlineStr">
        <is>
          <t>lakhan.b</t>
        </is>
      </c>
      <c r="B3152" t="inlineStr">
        <is>
          <t>Lakhan Badure</t>
        </is>
      </c>
      <c r="C3152" t="inlineStr">
        <is>
          <t>lakhan.b@osmosys.co</t>
        </is>
      </c>
      <c r="D3152" t="inlineStr">
        <is>
          <t>incident-reporter</t>
        </is>
      </c>
      <c r="E3152">
        <f>HYPERLINK("http://gitlab.osmosys.co/incident-reporter/incident-reporter-api", "OQSHA-API")</f>
        <v/>
      </c>
      <c r="F3152">
        <f>HYPERLINK("http://gitlab.osmosys.co/incident-reporter/incident-reporter-api/-/merge_requests/4425", "feat: add acm module configs for KPI")</f>
        <v/>
      </c>
      <c r="G3152" t="inlineStr">
        <is>
          <t>feat/add-acm-module-kpi</t>
        </is>
      </c>
      <c r="H3152" t="inlineStr">
        <is>
          <t>sprint-19</t>
        </is>
      </c>
      <c r="I3152" t="inlineStr">
        <is>
          <t>merged</t>
        </is>
      </c>
      <c r="J3152" t="inlineStr">
        <is>
          <t>c944e33325a44086b1a6992a45d0534e60486dc4</t>
        </is>
      </c>
      <c r="K3152">
        <f>HYPERLINK("http://gitlab.osmosys.co/incident-reporter/incident-reporter-api/-/merge_requests/4425#note_245423", "Update the Name for the fluent migration")</f>
        <v/>
      </c>
      <c r="L3152" t="inlineStr">
        <is>
          <t>2025-08-01 14:48:28.876 IST</t>
        </is>
      </c>
      <c r="M3152" t="inlineStr">
        <is>
          <t>Harish</t>
        </is>
      </c>
      <c r="N3152" t="inlineStr">
        <is>
          <t>Yes</t>
        </is>
      </c>
      <c r="O3152" t="inlineStr">
        <is>
          <t>Yes</t>
        </is>
      </c>
      <c r="P3152" t="inlineStr">
        <is>
          <t>Sindhusha</t>
        </is>
      </c>
      <c r="Q3152" t="inlineStr">
        <is>
          <t>Bad</t>
        </is>
      </c>
    </row>
    <row r="3153">
      <c r="A3153" t="inlineStr">
        <is>
          <t>lakhan.b</t>
        </is>
      </c>
      <c r="B3153" t="inlineStr">
        <is>
          <t>Lakhan Badure</t>
        </is>
      </c>
      <c r="C3153" t="inlineStr">
        <is>
          <t>lakhan.b@osmosys.co</t>
        </is>
      </c>
      <c r="D3153" t="inlineStr">
        <is>
          <t>incident-reporter</t>
        </is>
      </c>
      <c r="E3153">
        <f>HYPERLINK("http://gitlab.osmosys.co/incident-reporter/incident-reporter-api", "OQSHA-API")</f>
        <v/>
      </c>
      <c r="F3153">
        <f>HYPERLINK("http://gitlab.osmosys.co/incident-reporter/incident-reporter-api/-/merge_requests/4425", "feat: add acm module configs for KPI")</f>
        <v/>
      </c>
      <c r="G3153" t="inlineStr">
        <is>
          <t>feat/add-acm-module-kpi</t>
        </is>
      </c>
      <c r="H3153" t="inlineStr">
        <is>
          <t>sprint-19</t>
        </is>
      </c>
      <c r="I3153" t="inlineStr">
        <is>
          <t>merged</t>
        </is>
      </c>
      <c r="J3153" t="inlineStr">
        <is>
          <t>c944e33325a44086b1a6992a45d0534e60486dc4</t>
        </is>
      </c>
      <c r="K3153">
        <f>HYPERLINK("http://gitlab.osmosys.co/incident-reporter/incident-reporter-api/-/merge_requests/4425#note_245516", "renamed it")</f>
        <v/>
      </c>
      <c r="L3153" t="inlineStr">
        <is>
          <t>2025-08-01 16:03:58.635 IST</t>
        </is>
      </c>
      <c r="M3153" t="inlineStr">
        <is>
          <t>Lakhan Badure</t>
        </is>
      </c>
      <c r="N3153" t="inlineStr">
        <is>
          <t>No</t>
        </is>
      </c>
      <c r="O3153" t="inlineStr">
        <is>
          <t>Yes</t>
        </is>
      </c>
      <c r="P3153" t="inlineStr">
        <is>
          <t>Sindhusha</t>
        </is>
      </c>
      <c r="Q3153" t="inlineStr">
        <is>
          <t>Bad</t>
        </is>
      </c>
    </row>
    <row r="3154">
      <c r="A3154" t="inlineStr">
        <is>
          <t>lakhan.b</t>
        </is>
      </c>
      <c r="B3154" t="inlineStr">
        <is>
          <t>Lakhan Badure</t>
        </is>
      </c>
      <c r="C3154" t="inlineStr">
        <is>
          <t>lakhan.b@osmosys.co</t>
        </is>
      </c>
      <c r="D3154" t="inlineStr">
        <is>
          <t>incident-reporter</t>
        </is>
      </c>
      <c r="E3154">
        <f>HYPERLINK("http://gitlab.osmosys.co/incident-reporter/incident-reporter-api", "OQSHA-API")</f>
        <v/>
      </c>
      <c r="F3154">
        <f>HYPERLINK("http://gitlab.osmosys.co/incident-reporter/incident-reporter-api/-/merge_requests/4425", "feat: add acm module configs for KPI")</f>
        <v/>
      </c>
      <c r="G3154" t="inlineStr">
        <is>
          <t>feat/add-acm-module-kpi</t>
        </is>
      </c>
      <c r="H3154" t="inlineStr">
        <is>
          <t>sprint-19</t>
        </is>
      </c>
      <c r="I3154" t="inlineStr">
        <is>
          <t>merged</t>
        </is>
      </c>
      <c r="J3154" t="inlineStr">
        <is>
          <t>26e2c35cb2f40594bbcb0c09a90cde10d5879c91</t>
        </is>
      </c>
      <c r="K3154">
        <f>HYPERLINK("http://gitlab.osmosys.co/incident-reporter/incident-reporter-api/-/merge_requests/4425#note_245432", "This is not needed - we maintaning this in "acm_app_modules_lookup" table - so write a insert query - if app module is needed")</f>
        <v/>
      </c>
      <c r="L3154" t="inlineStr">
        <is>
          <t>2025-08-01 14:51:54.863 IST</t>
        </is>
      </c>
      <c r="M3154" t="inlineStr">
        <is>
          <t>Harish</t>
        </is>
      </c>
      <c r="N3154" t="inlineStr">
        <is>
          <t>Yes</t>
        </is>
      </c>
      <c r="O3154" t="inlineStr">
        <is>
          <t>Yes</t>
        </is>
      </c>
      <c r="P3154" t="inlineStr">
        <is>
          <t>Sindhusha</t>
        </is>
      </c>
      <c r="Q3154" t="inlineStr">
        <is>
          <t>Bad</t>
        </is>
      </c>
    </row>
    <row r="3155">
      <c r="A3155" t="inlineStr">
        <is>
          <t>lakhan.b</t>
        </is>
      </c>
      <c r="B3155" t="inlineStr">
        <is>
          <t>Lakhan Badure</t>
        </is>
      </c>
      <c r="C3155" t="inlineStr">
        <is>
          <t>lakhan.b@osmosys.co</t>
        </is>
      </c>
      <c r="D3155" t="inlineStr">
        <is>
          <t>incident-reporter</t>
        </is>
      </c>
      <c r="E3155">
        <f>HYPERLINK("http://gitlab.osmosys.co/incident-reporter/incident-reporter-api", "OQSHA-API")</f>
        <v/>
      </c>
      <c r="F3155">
        <f>HYPERLINK("http://gitlab.osmosys.co/incident-reporter/incident-reporter-api/-/merge_requests/4425", "feat: add acm module configs for KPI")</f>
        <v/>
      </c>
      <c r="G3155" t="inlineStr">
        <is>
          <t>feat/add-acm-module-kpi</t>
        </is>
      </c>
      <c r="H3155" t="inlineStr">
        <is>
          <t>sprint-19</t>
        </is>
      </c>
      <c r="I3155" t="inlineStr">
        <is>
          <t>merged</t>
        </is>
      </c>
      <c r="J3155" t="inlineStr">
        <is>
          <t>26e2c35cb2f40594bbcb0c09a90cde10d5879c91</t>
        </is>
      </c>
      <c r="K3155">
        <f>HYPERLINK("http://gitlab.osmosys.co/incident-reporter/incident-reporter-api/-/merge_requests/4425#note_245515", "This is fixed removed the module name &amp; we don't need app")</f>
        <v/>
      </c>
      <c r="L3155" t="inlineStr">
        <is>
          <t>2025-08-01 16:03:22.475 IST</t>
        </is>
      </c>
      <c r="M3155" t="inlineStr">
        <is>
          <t>Lakhan Badure</t>
        </is>
      </c>
      <c r="N3155" t="inlineStr">
        <is>
          <t>No</t>
        </is>
      </c>
      <c r="O3155" t="inlineStr">
        <is>
          <t>Yes</t>
        </is>
      </c>
      <c r="P3155" t="inlineStr">
        <is>
          <t>Sindhusha</t>
        </is>
      </c>
      <c r="Q3155" t="inlineStr">
        <is>
          <t>Bad</t>
        </is>
      </c>
    </row>
    <row r="3156">
      <c r="A3156" t="inlineStr">
        <is>
          <t>lakhan.b</t>
        </is>
      </c>
      <c r="B3156" t="inlineStr">
        <is>
          <t>Lakhan Badure</t>
        </is>
      </c>
      <c r="C3156" t="inlineStr">
        <is>
          <t>lakhan.b@osmosys.co</t>
        </is>
      </c>
      <c r="D3156" t="inlineStr">
        <is>
          <t>incident-reporter</t>
        </is>
      </c>
      <c r="E3156">
        <f>HYPERLINK("http://gitlab.osmosys.co/incident-reporter/incident-reporter-api", "OQSHA-API")</f>
        <v/>
      </c>
      <c r="F3156">
        <f>HYPERLINK("http://gitlab.osmosys.co/incident-reporter/incident-reporter-api/-/merge_requests/4425", "feat: add acm module configs for KPI")</f>
        <v/>
      </c>
      <c r="G3156" t="inlineStr">
        <is>
          <t>feat/add-acm-module-kpi</t>
        </is>
      </c>
      <c r="H3156" t="inlineStr">
        <is>
          <t>sprint-19</t>
        </is>
      </c>
      <c r="I3156" t="inlineStr">
        <is>
          <t>merged</t>
        </is>
      </c>
      <c r="J3156" t="inlineStr">
        <is>
          <t>11b4ebaf3b0f6ac1236c528ca797b463ae60c156</t>
        </is>
      </c>
      <c r="K3156">
        <f>HYPERLINK("http://gitlab.osmosys.co/incident-reporter/incident-reporter-api/-/merge_requests/4425#note_245433", "Get a confirmation from sindhu do we need this for app also - If yes that is missing add that also")</f>
        <v/>
      </c>
      <c r="L3156" t="inlineStr">
        <is>
          <t>2025-08-01 14:52:25.749 IST</t>
        </is>
      </c>
      <c r="M3156" t="inlineStr">
        <is>
          <t>Harish</t>
        </is>
      </c>
      <c r="N3156" t="inlineStr">
        <is>
          <t>Yes</t>
        </is>
      </c>
      <c r="O3156" t="inlineStr">
        <is>
          <t>Yes</t>
        </is>
      </c>
      <c r="P3156" t="inlineStr">
        <is>
          <t>Sindhusha</t>
        </is>
      </c>
      <c r="Q3156" t="inlineStr">
        <is>
          <t>Bad</t>
        </is>
      </c>
    </row>
    <row r="3157">
      <c r="A3157" t="inlineStr">
        <is>
          <t>lakhan.b</t>
        </is>
      </c>
      <c r="B3157" t="inlineStr">
        <is>
          <t>Lakhan Badure</t>
        </is>
      </c>
      <c r="C3157" t="inlineStr">
        <is>
          <t>lakhan.b@osmosys.co</t>
        </is>
      </c>
      <c r="D3157" t="inlineStr">
        <is>
          <t>incident-reporter</t>
        </is>
      </c>
      <c r="E3157">
        <f>HYPERLINK("http://gitlab.osmosys.co/incident-reporter/incident-reporter-api", "OQSHA-API")</f>
        <v/>
      </c>
      <c r="F3157">
        <f>HYPERLINK("http://gitlab.osmosys.co/incident-reporter/incident-reporter-api/-/merge_requests/4425", "feat: add acm module configs for KPI")</f>
        <v/>
      </c>
      <c r="G3157" t="inlineStr">
        <is>
          <t>feat/add-acm-module-kpi</t>
        </is>
      </c>
      <c r="H3157" t="inlineStr">
        <is>
          <t>sprint-19</t>
        </is>
      </c>
      <c r="I3157" t="inlineStr">
        <is>
          <t>merged</t>
        </is>
      </c>
      <c r="J3157" t="inlineStr">
        <is>
          <t>11b4ebaf3b0f6ac1236c528ca797b463ae60c156</t>
        </is>
      </c>
      <c r="K3157">
        <f>HYPERLINK("http://gitlab.osmosys.co/incident-reporter/incident-reporter-api/-/merge_requests/4425#note_245492", "I have Confirmed from Sindhu, this we don't need app for now")</f>
        <v/>
      </c>
      <c r="L3157" t="inlineStr">
        <is>
          <t>2025-08-01 15:44:35.004 IST</t>
        </is>
      </c>
      <c r="M3157" t="inlineStr">
        <is>
          <t>Lakhan Badure</t>
        </is>
      </c>
      <c r="N3157" t="inlineStr">
        <is>
          <t>No</t>
        </is>
      </c>
      <c r="O3157" t="inlineStr">
        <is>
          <t>Yes</t>
        </is>
      </c>
      <c r="P3157" t="inlineStr">
        <is>
          <t>Sindhusha</t>
        </is>
      </c>
      <c r="Q3157" t="inlineStr">
        <is>
          <t>Bad</t>
        </is>
      </c>
    </row>
    <row r="3158">
      <c r="A3158" t="inlineStr">
        <is>
          <t>lakhan.b</t>
        </is>
      </c>
      <c r="B3158" t="inlineStr">
        <is>
          <t>Lakhan Badure</t>
        </is>
      </c>
      <c r="C3158" t="inlineStr">
        <is>
          <t>lakhan.b@osmosys.co</t>
        </is>
      </c>
      <c r="D3158" t="inlineStr">
        <is>
          <t>incident-reporter</t>
        </is>
      </c>
      <c r="E3158">
        <f>HYPERLINK("http://gitlab.osmosys.co/incident-reporter/incident-reporter-api", "OQSHA-API")</f>
        <v/>
      </c>
      <c r="F3158">
        <f>HYPERLINK("http://gitlab.osmosys.co/incident-reporter/incident-reporter-api/-/merge_requests/4423", "fix: fetch master KPI details &amp; List")</f>
        <v/>
      </c>
      <c r="G3158" t="inlineStr">
        <is>
          <t>feat/get-kpi-details</t>
        </is>
      </c>
      <c r="H3158" t="inlineStr">
        <is>
          <t>sprint-19</t>
        </is>
      </c>
      <c r="I3158" t="inlineStr">
        <is>
          <t>merged</t>
        </is>
      </c>
      <c r="J3158" t="inlineStr">
        <is>
          <t>2143e3cf83b943cee013b3668906494479d19d2b</t>
        </is>
      </c>
      <c r="K3158">
        <f>HYPERLINK("http://gitlab.osmosys.co/incident-reporter/incident-reporter-api/-/merge_requests/4423#note_245068", "Update Master to EmployeeMaster in the route.")</f>
        <v/>
      </c>
      <c r="L3158" t="inlineStr">
        <is>
          <t>2025-07-31 17:55:48.682 IST</t>
        </is>
      </c>
      <c r="M3158" t="inlineStr">
        <is>
          <t>Sindhusha</t>
        </is>
      </c>
      <c r="N3158" t="inlineStr">
        <is>
          <t>Yes</t>
        </is>
      </c>
      <c r="O3158" t="inlineStr">
        <is>
          <t>Yes</t>
        </is>
      </c>
      <c r="P3158" t="inlineStr">
        <is>
          <t>Sindhusha</t>
        </is>
      </c>
      <c r="Q3158" t="inlineStr">
        <is>
          <t>Bad</t>
        </is>
      </c>
    </row>
    <row r="3159">
      <c r="A3159" t="inlineStr">
        <is>
          <t>lakhan.b</t>
        </is>
      </c>
      <c r="B3159" t="inlineStr">
        <is>
          <t>Lakhan Badure</t>
        </is>
      </c>
      <c r="C3159" t="inlineStr">
        <is>
          <t>lakhan.b@osmosys.co</t>
        </is>
      </c>
      <c r="D3159" t="inlineStr">
        <is>
          <t>incident-reporter</t>
        </is>
      </c>
      <c r="E3159">
        <f>HYPERLINK("http://gitlab.osmosys.co/incident-reporter/incident-reporter-api", "OQSHA-API")</f>
        <v/>
      </c>
      <c r="F3159">
        <f>HYPERLINK("http://gitlab.osmosys.co/incident-reporter/incident-reporter-api/-/merge_requests/4423", "fix: fetch master KPI details &amp; List")</f>
        <v/>
      </c>
      <c r="G3159" t="inlineStr">
        <is>
          <t>feat/get-kpi-details</t>
        </is>
      </c>
      <c r="H3159" t="inlineStr">
        <is>
          <t>sprint-19</t>
        </is>
      </c>
      <c r="I3159" t="inlineStr">
        <is>
          <t>merged</t>
        </is>
      </c>
      <c r="J3159" t="inlineStr">
        <is>
          <t>2143e3cf83b943cee013b3668906494479d19d2b</t>
        </is>
      </c>
      <c r="K3159">
        <f>HYPERLINK("http://gitlab.osmosys.co/incident-reporter/incident-reporter-api/-/merge_requests/4423#note_245084", "Fixed")</f>
        <v/>
      </c>
      <c r="L3159" t="inlineStr">
        <is>
          <t>2025-07-31 18:23:48.248 IST</t>
        </is>
      </c>
      <c r="M3159" t="inlineStr">
        <is>
          <t>Lakhan Badure</t>
        </is>
      </c>
      <c r="N3159" t="inlineStr">
        <is>
          <t>No</t>
        </is>
      </c>
      <c r="O3159" t="inlineStr">
        <is>
          <t>Yes</t>
        </is>
      </c>
      <c r="P3159" t="inlineStr">
        <is>
          <t>Sindhusha</t>
        </is>
      </c>
      <c r="Q3159" t="inlineStr">
        <is>
          <t>Bad</t>
        </is>
      </c>
    </row>
    <row r="3160">
      <c r="A3160" t="inlineStr">
        <is>
          <t>lakhan.b</t>
        </is>
      </c>
      <c r="B3160" t="inlineStr">
        <is>
          <t>Lakhan Badure</t>
        </is>
      </c>
      <c r="C3160" t="inlineStr">
        <is>
          <t>lakhan.b@osmosys.co</t>
        </is>
      </c>
      <c r="D3160" t="inlineStr">
        <is>
          <t>incident-reporter</t>
        </is>
      </c>
      <c r="E3160">
        <f>HYPERLINK("http://gitlab.osmosys.co/incident-reporter/incident-reporter-api", "OQSHA-API")</f>
        <v/>
      </c>
      <c r="F3160">
        <f>HYPERLINK("http://gitlab.osmosys.co/incident-reporter/incident-reporter-api/-/merge_requests/4423", "fix: fetch master KPI details &amp; List")</f>
        <v/>
      </c>
      <c r="G3160" t="inlineStr">
        <is>
          <t>feat/get-kpi-details</t>
        </is>
      </c>
      <c r="H3160" t="inlineStr">
        <is>
          <t>sprint-19</t>
        </is>
      </c>
      <c r="I3160" t="inlineStr">
        <is>
          <t>merged</t>
        </is>
      </c>
      <c r="J3160" t="inlineStr">
        <is>
          <t>70643fe99fbf9ceaf83adac064abef0fb0329419</t>
        </is>
      </c>
      <c r="K3160">
        <f>HYPERLINK("http://gitlab.osmosys.co/incident-reporter/incident-reporter-api/-/merge_requests/4423#note_245069", "Update it to Organisation/{orgId}/KPI/EmployeeMasterLookup")</f>
        <v/>
      </c>
      <c r="L3160" t="inlineStr">
        <is>
          <t>2025-07-31 17:56:21.200 IST</t>
        </is>
      </c>
      <c r="M3160" t="inlineStr">
        <is>
          <t>Sindhusha</t>
        </is>
      </c>
      <c r="N3160" t="inlineStr">
        <is>
          <t>Yes</t>
        </is>
      </c>
      <c r="O3160" t="inlineStr">
        <is>
          <t>Yes</t>
        </is>
      </c>
      <c r="P3160" t="inlineStr">
        <is>
          <t>Sindhusha</t>
        </is>
      </c>
      <c r="Q3160" t="inlineStr">
        <is>
          <t>Bad</t>
        </is>
      </c>
    </row>
    <row r="3161">
      <c r="A3161" t="inlineStr">
        <is>
          <t>lakhan.b</t>
        </is>
      </c>
      <c r="B3161" t="inlineStr">
        <is>
          <t>Lakhan Badure</t>
        </is>
      </c>
      <c r="C3161" t="inlineStr">
        <is>
          <t>lakhan.b@osmosys.co</t>
        </is>
      </c>
      <c r="D3161" t="inlineStr">
        <is>
          <t>incident-reporter</t>
        </is>
      </c>
      <c r="E3161">
        <f>HYPERLINK("http://gitlab.osmosys.co/incident-reporter/incident-reporter-api", "OQSHA-API")</f>
        <v/>
      </c>
      <c r="F3161">
        <f>HYPERLINK("http://gitlab.osmosys.co/incident-reporter/incident-reporter-api/-/merge_requests/4423", "fix: fetch master KPI details &amp; List")</f>
        <v/>
      </c>
      <c r="G3161" t="inlineStr">
        <is>
          <t>feat/get-kpi-details</t>
        </is>
      </c>
      <c r="H3161" t="inlineStr">
        <is>
          <t>sprint-19</t>
        </is>
      </c>
      <c r="I3161" t="inlineStr">
        <is>
          <t>merged</t>
        </is>
      </c>
      <c r="J3161" t="inlineStr">
        <is>
          <t>70643fe99fbf9ceaf83adac064abef0fb0329419</t>
        </is>
      </c>
      <c r="K3161">
        <f>HYPERLINK("http://gitlab.osmosys.co/incident-reporter/incident-reporter-api/-/merge_requests/4423#note_245083", "Fixed")</f>
        <v/>
      </c>
      <c r="L3161" t="inlineStr">
        <is>
          <t>2025-07-31 18:23:31.423 IST</t>
        </is>
      </c>
      <c r="M3161" t="inlineStr">
        <is>
          <t>Lakhan Badure</t>
        </is>
      </c>
      <c r="N3161" t="inlineStr">
        <is>
          <t>No</t>
        </is>
      </c>
      <c r="O3161" t="inlineStr">
        <is>
          <t>Yes</t>
        </is>
      </c>
      <c r="P3161" t="inlineStr">
        <is>
          <t>Sindhusha</t>
        </is>
      </c>
      <c r="Q3161" t="inlineStr">
        <is>
          <t>Bad</t>
        </is>
      </c>
    </row>
    <row r="3162">
      <c r="A3162" t="inlineStr">
        <is>
          <t>lakhan.b</t>
        </is>
      </c>
      <c r="B3162" t="inlineStr">
        <is>
          <t>Lakhan Badure</t>
        </is>
      </c>
      <c r="C3162" t="inlineStr">
        <is>
          <t>lakhan.b@osmosys.co</t>
        </is>
      </c>
      <c r="D3162" t="inlineStr">
        <is>
          <t>incident-reporter</t>
        </is>
      </c>
      <c r="E3162">
        <f>HYPERLINK("http://gitlab.osmosys.co/incident-reporter/incident-reporter-api", "OQSHA-API")</f>
        <v/>
      </c>
      <c r="F3162">
        <f>HYPERLINK("http://gitlab.osmosys.co/incident-reporter/incident-reporter-api/-/merge_requests/4423", "fix: fetch master KPI details &amp; List")</f>
        <v/>
      </c>
      <c r="G3162" t="inlineStr">
        <is>
          <t>feat/get-kpi-details</t>
        </is>
      </c>
      <c r="H3162" t="inlineStr">
        <is>
          <t>sprint-19</t>
        </is>
      </c>
      <c r="I3162" t="inlineStr">
        <is>
          <t>merged</t>
        </is>
      </c>
      <c r="J3162" t="inlineStr">
        <is>
          <t>b7e39ee8aded289fdc151fe1da67c054ec8d3f48</t>
        </is>
      </c>
      <c r="K3162">
        <f>HYPERLINK("http://gitlab.osmosys.co/incident-reporter/incident-reporter-api/-/merge_requests/4423#note_245087", "Where is module middleware, add it in the module changes PR")</f>
        <v/>
      </c>
      <c r="L3162" t="inlineStr">
        <is>
          <t>2025-07-31 18:29:00.590 IST</t>
        </is>
      </c>
      <c r="M3162" t="inlineStr">
        <is>
          <t>Sindhusha</t>
        </is>
      </c>
      <c r="N3162" t="inlineStr">
        <is>
          <t>Yes</t>
        </is>
      </c>
      <c r="O3162" t="inlineStr">
        <is>
          <t>Yes</t>
        </is>
      </c>
      <c r="P3162" t="inlineStr">
        <is>
          <t>Sindhusha</t>
        </is>
      </c>
      <c r="Q3162" t="inlineStr">
        <is>
          <t>Bad</t>
        </is>
      </c>
    </row>
    <row r="3163">
      <c r="A3163" t="inlineStr">
        <is>
          <t>lakhan.b</t>
        </is>
      </c>
      <c r="B3163" t="inlineStr">
        <is>
          <t>Lakhan Badure</t>
        </is>
      </c>
      <c r="C3163" t="inlineStr">
        <is>
          <t>lakhan.b@osmosys.co</t>
        </is>
      </c>
      <c r="D3163" t="inlineStr">
        <is>
          <t>incident-reporter</t>
        </is>
      </c>
      <c r="E3163">
        <f>HYPERLINK("http://gitlab.osmosys.co/incident-reporter/incident-reporter-api", "OQSHA-API")</f>
        <v/>
      </c>
      <c r="F3163">
        <f>HYPERLINK("http://gitlab.osmosys.co/incident-reporter/incident-reporter-api/-/merge_requests/4423", "fix: fetch master KPI details &amp; List")</f>
        <v/>
      </c>
      <c r="G3163" t="inlineStr">
        <is>
          <t>feat/get-kpi-details</t>
        </is>
      </c>
      <c r="H3163" t="inlineStr">
        <is>
          <t>sprint-19</t>
        </is>
      </c>
      <c r="I3163" t="inlineStr">
        <is>
          <t>merged</t>
        </is>
      </c>
      <c r="J3163" t="inlineStr">
        <is>
          <t>b7e39ee8aded289fdc151fe1da67c054ec8d3f48</t>
        </is>
      </c>
      <c r="K3163">
        <f>HYPERLINK("http://gitlab.osmosys.co/incident-reporter/incident-reporter-api/-/merge_requests/4423#note_245112", "Added acm auth")</f>
        <v/>
      </c>
      <c r="L3163" t="inlineStr">
        <is>
          <t>2025-07-31 19:28:13.647 IST</t>
        </is>
      </c>
      <c r="M3163" t="inlineStr">
        <is>
          <t>Lakhan Badure</t>
        </is>
      </c>
      <c r="N3163" t="inlineStr">
        <is>
          <t>No</t>
        </is>
      </c>
      <c r="O3163" t="inlineStr">
        <is>
          <t>Yes</t>
        </is>
      </c>
      <c r="P3163" t="inlineStr">
        <is>
          <t>Sindhusha</t>
        </is>
      </c>
      <c r="Q3163" t="inlineStr">
        <is>
          <t>Bad</t>
        </is>
      </c>
    </row>
    <row r="3164">
      <c r="A3164" t="inlineStr">
        <is>
          <t>lakhan.b</t>
        </is>
      </c>
      <c r="B3164" t="inlineStr">
        <is>
          <t>Lakhan Badure</t>
        </is>
      </c>
      <c r="C3164" t="inlineStr">
        <is>
          <t>lakhan.b@osmosys.co</t>
        </is>
      </c>
      <c r="D3164" t="inlineStr">
        <is>
          <t>incident-reporter</t>
        </is>
      </c>
      <c r="E3164">
        <f>HYPERLINK("http://gitlab.osmosys.co/incident-reporter/incident-reporter-api", "OQSHA-API")</f>
        <v/>
      </c>
      <c r="F3164">
        <f>HYPERLINK("http://gitlab.osmosys.co/incident-reporter/incident-reporter-api/-/merge_requests/4423", "fix: fetch master KPI details &amp; List")</f>
        <v/>
      </c>
      <c r="G3164" t="inlineStr">
        <is>
          <t>feat/get-kpi-details</t>
        </is>
      </c>
      <c r="H3164" t="inlineStr">
        <is>
          <t>sprint-19</t>
        </is>
      </c>
      <c r="I3164" t="inlineStr">
        <is>
          <t>merged</t>
        </is>
      </c>
      <c r="J3164" t="inlineStr">
        <is>
          <t>b7e39ee8aded289fdc151fe1da67c054ec8d3f48</t>
        </is>
      </c>
      <c r="K3164">
        <f>HYPERLINK("http://gitlab.osmosys.co/incident-reporter/incident-reporter-api/-/merge_requests/4423#note_245439", "Lakhan - remove this from this PR - add it in the PR where you inserting acm module
And for all the existing api - you have to add that")</f>
        <v/>
      </c>
      <c r="L3164" t="inlineStr">
        <is>
          <t>2025-08-01 14:56:32.756 IST</t>
        </is>
      </c>
      <c r="M3164" t="inlineStr">
        <is>
          <t>Harish</t>
        </is>
      </c>
      <c r="N3164" t="inlineStr">
        <is>
          <t>Yes</t>
        </is>
      </c>
      <c r="O3164" t="inlineStr">
        <is>
          <t>Yes</t>
        </is>
      </c>
      <c r="P3164" t="inlineStr">
        <is>
          <t>Sindhusha</t>
        </is>
      </c>
      <c r="Q3164" t="inlineStr">
        <is>
          <t>Bad</t>
        </is>
      </c>
    </row>
    <row r="3165">
      <c r="A3165" t="inlineStr">
        <is>
          <t>lakhan.b</t>
        </is>
      </c>
      <c r="B3165" t="inlineStr">
        <is>
          <t>Lakhan Badure</t>
        </is>
      </c>
      <c r="C3165" t="inlineStr">
        <is>
          <t>lakhan.b@osmosys.co</t>
        </is>
      </c>
      <c r="D3165" t="inlineStr">
        <is>
          <t>incident-reporter</t>
        </is>
      </c>
      <c r="E3165">
        <f>HYPERLINK("http://gitlab.osmosys.co/incident-reporter/incident-reporter-api", "OQSHA-API")</f>
        <v/>
      </c>
      <c r="F3165">
        <f>HYPERLINK("http://gitlab.osmosys.co/incident-reporter/incident-reporter-api/-/merge_requests/4423", "fix: fetch master KPI details &amp; List")</f>
        <v/>
      </c>
      <c r="G3165" t="inlineStr">
        <is>
          <t>feat/get-kpi-details</t>
        </is>
      </c>
      <c r="H3165" t="inlineStr">
        <is>
          <t>sprint-19</t>
        </is>
      </c>
      <c r="I3165" t="inlineStr">
        <is>
          <t>merged</t>
        </is>
      </c>
      <c r="J3165" t="inlineStr">
        <is>
          <t>55402b350c1dacd486bec5d40012171c23e27e57</t>
        </is>
      </c>
      <c r="K3165">
        <f>HYPERLINK("http://gitlab.osmosys.co/incident-reporter/incident-reporter-api/-/merge_requests/4423#note_245088", "Add Employee prefix everywhere, we will get Plant kpi APIs later.")</f>
        <v/>
      </c>
      <c r="L3165" t="inlineStr">
        <is>
          <t>2025-07-31 18:30:12.190 IST</t>
        </is>
      </c>
      <c r="M3165" t="inlineStr">
        <is>
          <t>Sindhusha</t>
        </is>
      </c>
      <c r="N3165" t="inlineStr">
        <is>
          <t>Yes</t>
        </is>
      </c>
      <c r="O3165" t="inlineStr">
        <is>
          <t>Yes</t>
        </is>
      </c>
      <c r="P3165" t="inlineStr">
        <is>
          <t>Sindhusha</t>
        </is>
      </c>
      <c r="Q3165" t="inlineStr">
        <is>
          <t>Bad</t>
        </is>
      </c>
    </row>
    <row r="3166">
      <c r="A3166" t="inlineStr">
        <is>
          <t>lakhan.b</t>
        </is>
      </c>
      <c r="B3166" t="inlineStr">
        <is>
          <t>Lakhan Badure</t>
        </is>
      </c>
      <c r="C3166" t="inlineStr">
        <is>
          <t>lakhan.b@osmosys.co</t>
        </is>
      </c>
      <c r="D3166" t="inlineStr">
        <is>
          <t>incident-reporter</t>
        </is>
      </c>
      <c r="E3166">
        <f>HYPERLINK("http://gitlab.osmosys.co/incident-reporter/incident-reporter-api", "OQSHA-API")</f>
        <v/>
      </c>
      <c r="F3166">
        <f>HYPERLINK("http://gitlab.osmosys.co/incident-reporter/incident-reporter-api/-/merge_requests/4423", "fix: fetch master KPI details &amp; List")</f>
        <v/>
      </c>
      <c r="G3166" t="inlineStr">
        <is>
          <t>feat/get-kpi-details</t>
        </is>
      </c>
      <c r="H3166" t="inlineStr">
        <is>
          <t>sprint-19</t>
        </is>
      </c>
      <c r="I3166" t="inlineStr">
        <is>
          <t>merged</t>
        </is>
      </c>
      <c r="J3166" t="inlineStr">
        <is>
          <t>55402b350c1dacd486bec5d40012171c23e27e57</t>
        </is>
      </c>
      <c r="K3166">
        <f>HYPERLINK("http://gitlab.osmosys.co/incident-reporter/incident-reporter-api/-/merge_requests/4423#note_245105", "I will add User as prefix keeping it consistent with database table name as well")</f>
        <v/>
      </c>
      <c r="L3166" t="inlineStr">
        <is>
          <t>2025-07-31 18:59:14.140 IST</t>
        </is>
      </c>
      <c r="M3166" t="inlineStr">
        <is>
          <t>Lakhan Badure</t>
        </is>
      </c>
      <c r="N3166" t="inlineStr">
        <is>
          <t>No</t>
        </is>
      </c>
      <c r="O3166" t="inlineStr">
        <is>
          <t>Yes</t>
        </is>
      </c>
      <c r="P3166" t="inlineStr">
        <is>
          <t>Sindhusha</t>
        </is>
      </c>
      <c r="Q3166" t="inlineStr">
        <is>
          <t>Bad</t>
        </is>
      </c>
    </row>
    <row r="3167">
      <c r="A3167" t="inlineStr">
        <is>
          <t>lakhan.b</t>
        </is>
      </c>
      <c r="B3167" t="inlineStr">
        <is>
          <t>Lakhan Badure</t>
        </is>
      </c>
      <c r="C3167" t="inlineStr">
        <is>
          <t>lakhan.b@osmosys.co</t>
        </is>
      </c>
      <c r="D3167" t="inlineStr">
        <is>
          <t>incident-reporter</t>
        </is>
      </c>
      <c r="E3167">
        <f>HYPERLINK("http://gitlab.osmosys.co/incident-reporter/incident-reporter-api", "OQSHA-API")</f>
        <v/>
      </c>
      <c r="F3167">
        <f>HYPERLINK("http://gitlab.osmosys.co/incident-reporter/incident-reporter-api/-/merge_requests/4423", "fix: fetch master KPI details &amp; List")</f>
        <v/>
      </c>
      <c r="G3167" t="inlineStr">
        <is>
          <t>feat/get-kpi-details</t>
        </is>
      </c>
      <c r="H3167" t="inlineStr">
        <is>
          <t>sprint-19</t>
        </is>
      </c>
      <c r="I3167" t="inlineStr">
        <is>
          <t>merged</t>
        </is>
      </c>
      <c r="J3167" t="inlineStr">
        <is>
          <t>55402b350c1dacd486bec5d40012171c23e27e57</t>
        </is>
      </c>
      <c r="K3167">
        <f>HYPERLINK("http://gitlab.osmosys.co/incident-reporter/incident-reporter-api/-/merge_requests/4423#note_245111", "Added User as prefix")</f>
        <v/>
      </c>
      <c r="L3167" t="inlineStr">
        <is>
          <t>2025-07-31 19:27:20.915 IST</t>
        </is>
      </c>
      <c r="M3167" t="inlineStr">
        <is>
          <t>Lakhan Badure</t>
        </is>
      </c>
      <c r="N3167" t="inlineStr">
        <is>
          <t>No</t>
        </is>
      </c>
      <c r="O3167" t="inlineStr">
        <is>
          <t>Yes</t>
        </is>
      </c>
      <c r="P3167" t="inlineStr">
        <is>
          <t>Sindhusha</t>
        </is>
      </c>
      <c r="Q3167" t="inlineStr">
        <is>
          <t>Bad</t>
        </is>
      </c>
    </row>
    <row r="3168">
      <c r="A3168" t="inlineStr">
        <is>
          <t>lakhan.b</t>
        </is>
      </c>
      <c r="B3168" t="inlineStr">
        <is>
          <t>Lakhan Badure</t>
        </is>
      </c>
      <c r="C3168" t="inlineStr">
        <is>
          <t>lakhan.b@osmosys.co</t>
        </is>
      </c>
      <c r="D3168" t="inlineStr">
        <is>
          <t>incident-reporter</t>
        </is>
      </c>
      <c r="E3168">
        <f>HYPERLINK("http://gitlab.osmosys.co/incident-reporter/incident-reporter-api", "OQSHA-API")</f>
        <v/>
      </c>
      <c r="F3168">
        <f>HYPERLINK("http://gitlab.osmosys.co/incident-reporter/incident-reporter-api/-/merge_requests/4423", "fix: fetch master KPI details &amp; List")</f>
        <v/>
      </c>
      <c r="G3168" t="inlineStr">
        <is>
          <t>feat/get-kpi-details</t>
        </is>
      </c>
      <c r="H3168" t="inlineStr">
        <is>
          <t>sprint-19</t>
        </is>
      </c>
      <c r="I3168" t="inlineStr">
        <is>
          <t>merged</t>
        </is>
      </c>
      <c r="J3168" t="inlineStr">
        <is>
          <t>162ae18122e8d2736000363839b1a61004b4d334</t>
        </is>
      </c>
      <c r="K3168">
        <f>HYPERLINK("http://gitlab.osmosys.co/incident-reporter/incident-reporter-api/-/merge_requests/4423#note_245089", "Get me the analyze query for this.")</f>
        <v/>
      </c>
      <c r="L3168" t="inlineStr">
        <is>
          <t>2025-07-31 18:31:23.990 IST</t>
        </is>
      </c>
      <c r="M3168" t="inlineStr">
        <is>
          <t>Sindhusha</t>
        </is>
      </c>
      <c r="N3168" t="inlineStr">
        <is>
          <t>Yes</t>
        </is>
      </c>
      <c r="O3168" t="inlineStr">
        <is>
          <t>Yes</t>
        </is>
      </c>
      <c r="P3168" t="inlineStr">
        <is>
          <t>Sindhusha</t>
        </is>
      </c>
      <c r="Q3168" t="inlineStr">
        <is>
          <t>Neutral</t>
        </is>
      </c>
    </row>
    <row r="3169">
      <c r="A3169" t="inlineStr">
        <is>
          <t>lakhan.b</t>
        </is>
      </c>
      <c r="B3169" t="inlineStr">
        <is>
          <t>Lakhan Badure</t>
        </is>
      </c>
      <c r="C3169" t="inlineStr">
        <is>
          <t>lakhan.b@osmosys.co</t>
        </is>
      </c>
      <c r="D3169" t="inlineStr">
        <is>
          <t>incident-reporter</t>
        </is>
      </c>
      <c r="E3169">
        <f>HYPERLINK("http://gitlab.osmosys.co/incident-reporter/incident-reporter-api", "OQSHA-API")</f>
        <v/>
      </c>
      <c r="F3169">
        <f>HYPERLINK("http://gitlab.osmosys.co/incident-reporter/incident-reporter-api/-/merge_requests/4423", "fix: fetch master KPI details &amp; List")</f>
        <v/>
      </c>
      <c r="G3169" t="inlineStr">
        <is>
          <t>feat/get-kpi-details</t>
        </is>
      </c>
      <c r="H3169" t="inlineStr">
        <is>
          <t>sprint-19</t>
        </is>
      </c>
      <c r="I3169" t="inlineStr">
        <is>
          <t>merged</t>
        </is>
      </c>
      <c r="J3169" t="inlineStr">
        <is>
          <t>162ae18122e8d2736000363839b1a61004b4d334</t>
        </is>
      </c>
      <c r="K3169">
        <f>HYPERLINK("http://gitlab.osmosys.co/incident-reporter/incident-reporter-api/-/merge_requests/4423#note_245108", "This is not supporting in my work bench which i have production version maria DB
![image](/uploads/36308c2d8f1d6a45e9ba7a2647ccd3c3/image.png)
I analyzed the query the duration screenshot is attached in screenshot section please check")</f>
        <v/>
      </c>
      <c r="L3169" t="inlineStr">
        <is>
          <t>2025-07-31 19:23:00.633 IST</t>
        </is>
      </c>
      <c r="M3169" t="inlineStr">
        <is>
          <t>Lakhan Badure</t>
        </is>
      </c>
      <c r="N3169" t="inlineStr">
        <is>
          <t>No</t>
        </is>
      </c>
      <c r="O3169" t="inlineStr">
        <is>
          <t>Yes</t>
        </is>
      </c>
      <c r="P3169" t="inlineStr">
        <is>
          <t>Sindhusha</t>
        </is>
      </c>
      <c r="Q3169" t="inlineStr">
        <is>
          <t>Neutral</t>
        </is>
      </c>
    </row>
    <row r="3170">
      <c r="A3170" t="inlineStr">
        <is>
          <t>lakhan.b</t>
        </is>
      </c>
      <c r="B3170" t="inlineStr">
        <is>
          <t>Lakhan Badure</t>
        </is>
      </c>
      <c r="C3170" t="inlineStr">
        <is>
          <t>lakhan.b@osmosys.co</t>
        </is>
      </c>
      <c r="D3170" t="inlineStr">
        <is>
          <t>incident-reporter</t>
        </is>
      </c>
      <c r="E3170">
        <f>HYPERLINK("http://gitlab.osmosys.co/incident-reporter/incident-reporter-api", "OQSHA-API")</f>
        <v/>
      </c>
      <c r="F3170">
        <f>HYPERLINK("http://gitlab.osmosys.co/incident-reporter/incident-reporter-api/-/merge_requests/4423", "fix: fetch master KPI details &amp; List")</f>
        <v/>
      </c>
      <c r="G3170" t="inlineStr">
        <is>
          <t>feat/get-kpi-details</t>
        </is>
      </c>
      <c r="H3170" t="inlineStr">
        <is>
          <t>sprint-19</t>
        </is>
      </c>
      <c r="I3170" t="inlineStr">
        <is>
          <t>merged</t>
        </is>
      </c>
      <c r="J3170" t="inlineStr">
        <is>
          <t>9f65a666d7a2e7288bf14598adab5abbef159408</t>
        </is>
      </c>
      <c r="K3170">
        <f>HYPERLINK("http://gitlab.osmosys.co/incident-reporter/incident-reporter-api/-/merge_requests/4423#note_245451", "Use GetAllUserKpiLookup - as we have plant kpi &amp; add All to signify it for fetching all the present lookups")</f>
        <v/>
      </c>
      <c r="L3170" t="inlineStr">
        <is>
          <t>2025-08-01 15:08:11.701 IST</t>
        </is>
      </c>
      <c r="M3170" t="inlineStr">
        <is>
          <t>Harish</t>
        </is>
      </c>
      <c r="N3170" t="inlineStr">
        <is>
          <t>Yes</t>
        </is>
      </c>
      <c r="O3170" t="inlineStr">
        <is>
          <t>Yes</t>
        </is>
      </c>
      <c r="P3170" t="inlineStr">
        <is>
          <t>Sindhusha</t>
        </is>
      </c>
      <c r="Q3170" t="inlineStr">
        <is>
          <t>Bad</t>
        </is>
      </c>
    </row>
    <row r="3171">
      <c r="A3171" t="inlineStr">
        <is>
          <t>lakhan.b</t>
        </is>
      </c>
      <c r="B3171" t="inlineStr">
        <is>
          <t>Lakhan Badure</t>
        </is>
      </c>
      <c r="C3171" t="inlineStr">
        <is>
          <t>lakhan.b@osmosys.co</t>
        </is>
      </c>
      <c r="D3171" t="inlineStr">
        <is>
          <t>incident-reporter</t>
        </is>
      </c>
      <c r="E3171">
        <f>HYPERLINK("http://gitlab.osmosys.co/incident-reporter/incident-reporter-api", "OQSHA-API")</f>
        <v/>
      </c>
      <c r="F3171">
        <f>HYPERLINK("http://gitlab.osmosys.co/incident-reporter/incident-reporter-api/-/merge_requests/4423", "fix: fetch master KPI details &amp; List")</f>
        <v/>
      </c>
      <c r="G3171" t="inlineStr">
        <is>
          <t>feat/get-kpi-details</t>
        </is>
      </c>
      <c r="H3171" t="inlineStr">
        <is>
          <t>sprint-19</t>
        </is>
      </c>
      <c r="I3171" t="inlineStr">
        <is>
          <t>merged</t>
        </is>
      </c>
      <c r="J3171" t="inlineStr">
        <is>
          <t>211a4e7952a9dc07a1f1b258c4dbd8cb3421716a</t>
        </is>
      </c>
      <c r="K3171">
        <f>HYPERLINK("http://gitlab.osmosys.co/incident-reporter/incident-reporter-api/-/merge_requests/4423#note_245452", "keep the styling like this - it more readable and easy to understand - do for all repo 
```
var param = new {
Id = KpiMasterId,
OrgId = orgId,
Status = RecordStatus.Active
}
```")</f>
        <v/>
      </c>
      <c r="L3171" t="inlineStr">
        <is>
          <t>2025-08-01 15:10:08.145 IST</t>
        </is>
      </c>
      <c r="M3171" t="inlineStr">
        <is>
          <t>Harish</t>
        </is>
      </c>
      <c r="N3171" t="inlineStr">
        <is>
          <t>Yes</t>
        </is>
      </c>
      <c r="O3171" t="inlineStr">
        <is>
          <t>Yes</t>
        </is>
      </c>
      <c r="P3171" t="inlineStr">
        <is>
          <t>Harish</t>
        </is>
      </c>
      <c r="Q3171" t="inlineStr">
        <is>
          <t>Good</t>
        </is>
      </c>
    </row>
    <row r="3172">
      <c r="A3172" t="inlineStr">
        <is>
          <t>lakhan.b</t>
        </is>
      </c>
      <c r="B3172" t="inlineStr">
        <is>
          <t>Lakhan Badure</t>
        </is>
      </c>
      <c r="C3172" t="inlineStr">
        <is>
          <t>lakhan.b@osmosys.co</t>
        </is>
      </c>
      <c r="D3172" t="inlineStr">
        <is>
          <t>incident-reporter</t>
        </is>
      </c>
      <c r="E3172">
        <f>HYPERLINK("http://gitlab.osmosys.co/incident-reporter/incident-reporter-api", "OQSHA-API")</f>
        <v/>
      </c>
      <c r="F3172">
        <f>HYPERLINK("http://gitlab.osmosys.co/incident-reporter/incident-reporter-api/-/merge_requests/4423", "fix: fetch master KPI details &amp; List")</f>
        <v/>
      </c>
      <c r="G3172" t="inlineStr">
        <is>
          <t>feat/get-kpi-details</t>
        </is>
      </c>
      <c r="H3172" t="inlineStr">
        <is>
          <t>sprint-19</t>
        </is>
      </c>
      <c r="I3172" t="inlineStr">
        <is>
          <t>merged</t>
        </is>
      </c>
      <c r="J3172" t="inlineStr">
        <is>
          <t>211a4e7952a9dc07a1f1b258c4dbd8cb3421716a</t>
        </is>
      </c>
      <c r="K3172">
        <f>HYPERLINK("http://gitlab.osmosys.co/incident-reporter/incident-reporter-api/-/merge_requests/4423#note_245613", "Formatted the changes")</f>
        <v/>
      </c>
      <c r="L3172" t="inlineStr">
        <is>
          <t>2025-08-01 16:50:41.042 IST</t>
        </is>
      </c>
      <c r="M3172" t="inlineStr">
        <is>
          <t>Lakhan Badure</t>
        </is>
      </c>
      <c r="N3172" t="inlineStr">
        <is>
          <t>No</t>
        </is>
      </c>
      <c r="O3172" t="inlineStr">
        <is>
          <t>Yes</t>
        </is>
      </c>
      <c r="P3172" t="inlineStr">
        <is>
          <t>Harish</t>
        </is>
      </c>
      <c r="Q3172" t="inlineStr">
        <is>
          <t>Good</t>
        </is>
      </c>
    </row>
    <row r="3173">
      <c r="A3173" t="inlineStr">
        <is>
          <t>lakhan.b</t>
        </is>
      </c>
      <c r="B3173" t="inlineStr">
        <is>
          <t>Lakhan Badure</t>
        </is>
      </c>
      <c r="C3173" t="inlineStr">
        <is>
          <t>lakhan.b@osmosys.co</t>
        </is>
      </c>
      <c r="D3173" t="inlineStr">
        <is>
          <t>incident-reporter</t>
        </is>
      </c>
      <c r="E3173">
        <f>HYPERLINK("http://gitlab.osmosys.co/incident-reporter/incident-reporter-api", "OQSHA-API")</f>
        <v/>
      </c>
      <c r="F3173">
        <f>HYPERLINK("http://gitlab.osmosys.co/incident-reporter/incident-reporter-api/-/merge_requests/4423", "fix: fetch master KPI details &amp; List")</f>
        <v/>
      </c>
      <c r="G3173" t="inlineStr">
        <is>
          <t>feat/get-kpi-details</t>
        </is>
      </c>
      <c r="H3173" t="inlineStr">
        <is>
          <t>sprint-19</t>
        </is>
      </c>
      <c r="I3173" t="inlineStr">
        <is>
          <t>merged</t>
        </is>
      </c>
      <c r="J3173" t="inlineStr">
        <is>
          <t>38d0bd3830129ed6d2f384a635869fe9cfe6cec1</t>
        </is>
      </c>
      <c r="K3173">
        <f>HYPERLINK("http://gitlab.osmosys.co/incident-reporter/incident-reporter-api/-/merge_requests/4423#note_245458", "define value in param don't use "1" - do this for all repo function")</f>
        <v/>
      </c>
      <c r="L3173" t="inlineStr">
        <is>
          <t>2025-08-01 15:18:25.905 IST</t>
        </is>
      </c>
      <c r="M3173" t="inlineStr">
        <is>
          <t>Harish</t>
        </is>
      </c>
      <c r="N3173" t="inlineStr">
        <is>
          <t>Yes</t>
        </is>
      </c>
      <c r="O3173" t="inlineStr">
        <is>
          <t>Yes</t>
        </is>
      </c>
      <c r="P3173" t="inlineStr">
        <is>
          <t>Harish</t>
        </is>
      </c>
      <c r="Q3173" t="inlineStr">
        <is>
          <t>Good</t>
        </is>
      </c>
    </row>
    <row r="3174">
      <c r="A3174" t="inlineStr">
        <is>
          <t>lakhan.b</t>
        </is>
      </c>
      <c r="B3174" t="inlineStr">
        <is>
          <t>Lakhan Badure</t>
        </is>
      </c>
      <c r="C3174" t="inlineStr">
        <is>
          <t>lakhan.b@osmosys.co</t>
        </is>
      </c>
      <c r="D3174" t="inlineStr">
        <is>
          <t>incident-reporter</t>
        </is>
      </c>
      <c r="E3174">
        <f>HYPERLINK("http://gitlab.osmosys.co/incident-reporter/incident-reporter-api", "OQSHA-API")</f>
        <v/>
      </c>
      <c r="F3174">
        <f>HYPERLINK("http://gitlab.osmosys.co/incident-reporter/incident-reporter-api/-/merge_requests/4423", "fix: fetch master KPI details &amp; List")</f>
        <v/>
      </c>
      <c r="G3174" t="inlineStr">
        <is>
          <t>feat/get-kpi-details</t>
        </is>
      </c>
      <c r="H3174" t="inlineStr">
        <is>
          <t>sprint-19</t>
        </is>
      </c>
      <c r="I3174" t="inlineStr">
        <is>
          <t>merged</t>
        </is>
      </c>
      <c r="J3174" t="inlineStr">
        <is>
          <t>38d0bd3830129ed6d2f384a635869fe9cfe6cec1</t>
        </is>
      </c>
      <c r="K3174">
        <f>HYPERLINK("http://gitlab.osmosys.co/incident-reporter/incident-reporter-api/-/merge_requests/4423#note_245612", "Defined status enum validation")</f>
        <v/>
      </c>
      <c r="L3174" t="inlineStr">
        <is>
          <t>2025-08-01 16:50:27.752 IST</t>
        </is>
      </c>
      <c r="M3174" t="inlineStr">
        <is>
          <t>Lakhan Badure</t>
        </is>
      </c>
      <c r="N3174" t="inlineStr">
        <is>
          <t>No</t>
        </is>
      </c>
      <c r="O3174" t="inlineStr">
        <is>
          <t>Yes</t>
        </is>
      </c>
      <c r="P3174" t="inlineStr">
        <is>
          <t>Harish</t>
        </is>
      </c>
      <c r="Q3174" t="inlineStr">
        <is>
          <t>Good</t>
        </is>
      </c>
    </row>
    <row r="3175">
      <c r="A3175" t="inlineStr">
        <is>
          <t>lakhan.b</t>
        </is>
      </c>
      <c r="B3175" t="inlineStr">
        <is>
          <t>Lakhan Badure</t>
        </is>
      </c>
      <c r="C3175" t="inlineStr">
        <is>
          <t>lakhan.b@osmosys.co</t>
        </is>
      </c>
      <c r="D3175" t="inlineStr">
        <is>
          <t>incident-reporter</t>
        </is>
      </c>
      <c r="E3175">
        <f>HYPERLINK("http://gitlab.osmosys.co/incident-reporter/incident-reporter-api", "OQSHA-API")</f>
        <v/>
      </c>
      <c r="F3175">
        <f>HYPERLINK("http://gitlab.osmosys.co/incident-reporter/incident-reporter-api/-/merge_requests/4423", "fix: fetch master KPI details &amp; List")</f>
        <v/>
      </c>
      <c r="G3175" t="inlineStr">
        <is>
          <t>feat/get-kpi-details</t>
        </is>
      </c>
      <c r="H3175" t="inlineStr">
        <is>
          <t>sprint-19</t>
        </is>
      </c>
      <c r="I3175" t="inlineStr">
        <is>
          <t>merged</t>
        </is>
      </c>
      <c r="J3175" t="inlineStr">
        <is>
          <t>c9519f31a0960b5793da5f741447373853f8a755</t>
        </is>
      </c>
      <c r="K3175">
        <f>HYPERLINK("http://gitlab.osmosys.co/incident-reporter/incident-reporter-api/-/merge_requests/4423#note_245466", "If you are renaming - rename it as KpiDBO only as both plant and user kpi will be using it")</f>
        <v/>
      </c>
      <c r="L3175" t="inlineStr">
        <is>
          <t>2025-08-01 15:19:44.479 IST</t>
        </is>
      </c>
      <c r="M3175" t="inlineStr">
        <is>
          <t>Harish</t>
        </is>
      </c>
      <c r="N3175" t="inlineStr">
        <is>
          <t>Yes</t>
        </is>
      </c>
      <c r="O3175" t="inlineStr">
        <is>
          <t>Yes</t>
        </is>
      </c>
      <c r="P3175" t="inlineStr">
        <is>
          <t>Harish</t>
        </is>
      </c>
      <c r="Q3175" t="inlineStr">
        <is>
          <t>Bad</t>
        </is>
      </c>
    </row>
    <row r="3176">
      <c r="A3176" t="inlineStr">
        <is>
          <t>lakhan.b</t>
        </is>
      </c>
      <c r="B3176" t="inlineStr">
        <is>
          <t>Lakhan Badure</t>
        </is>
      </c>
      <c r="C3176" t="inlineStr">
        <is>
          <t>lakhan.b@osmosys.co</t>
        </is>
      </c>
      <c r="D3176" t="inlineStr">
        <is>
          <t>incident-reporter</t>
        </is>
      </c>
      <c r="E3176">
        <f>HYPERLINK("http://gitlab.osmosys.co/incident-reporter/incident-reporter-api", "OQSHA-API")</f>
        <v/>
      </c>
      <c r="F3176">
        <f>HYPERLINK("http://gitlab.osmosys.co/incident-reporter/incident-reporter-api/-/merge_requests/4423", "fix: fetch master KPI details &amp; List")</f>
        <v/>
      </c>
      <c r="G3176" t="inlineStr">
        <is>
          <t>feat/get-kpi-details</t>
        </is>
      </c>
      <c r="H3176" t="inlineStr">
        <is>
          <t>sprint-19</t>
        </is>
      </c>
      <c r="I3176" t="inlineStr">
        <is>
          <t>merged</t>
        </is>
      </c>
      <c r="J3176" t="inlineStr">
        <is>
          <t>c9519f31a0960b5793da5f741447373853f8a755</t>
        </is>
      </c>
      <c r="K3176">
        <f>HYPERLINK("http://gitlab.osmosys.co/incident-reporter/incident-reporter-api/-/merge_requests/4423#note_245610", "Renamed to KPI")</f>
        <v/>
      </c>
      <c r="L3176" t="inlineStr">
        <is>
          <t>2025-08-01 16:48:37.759 IST</t>
        </is>
      </c>
      <c r="M3176" t="inlineStr">
        <is>
          <t>Lakhan Badure</t>
        </is>
      </c>
      <c r="N3176" t="inlineStr">
        <is>
          <t>No</t>
        </is>
      </c>
      <c r="O3176" t="inlineStr">
        <is>
          <t>Yes</t>
        </is>
      </c>
      <c r="P3176" t="inlineStr">
        <is>
          <t>Harish</t>
        </is>
      </c>
      <c r="Q3176" t="inlineStr">
        <is>
          <t>Bad</t>
        </is>
      </c>
    </row>
    <row r="3177">
      <c r="A3177" t="inlineStr">
        <is>
          <t>lakhan.b</t>
        </is>
      </c>
      <c r="B3177" t="inlineStr">
        <is>
          <t>Lakhan Badure</t>
        </is>
      </c>
      <c r="C3177" t="inlineStr">
        <is>
          <t>lakhan.b@osmosys.co</t>
        </is>
      </c>
      <c r="D3177" t="inlineStr">
        <is>
          <t>incident-reporter</t>
        </is>
      </c>
      <c r="E3177">
        <f>HYPERLINK("http://gitlab.osmosys.co/incident-reporter/incident-reporter-api", "OQSHA-API")</f>
        <v/>
      </c>
      <c r="F3177">
        <f>HYPERLINK("http://gitlab.osmosys.co/incident-reporter/incident-reporter-api/-/merge_requests/4423", "fix: fetch master KPI details &amp; List")</f>
        <v/>
      </c>
      <c r="G3177" t="inlineStr">
        <is>
          <t>feat/get-kpi-details</t>
        </is>
      </c>
      <c r="H3177" t="inlineStr">
        <is>
          <t>sprint-19</t>
        </is>
      </c>
      <c r="I3177" t="inlineStr">
        <is>
          <t>merged</t>
        </is>
      </c>
      <c r="J3177" t="inlineStr">
        <is>
          <t>a5ee05c4e1d8e0d74326659c4d6f3718417ba221</t>
        </is>
      </c>
      <c r="K3177">
        <f>HYPERLINK("http://gitlab.osmosys.co/incident-reporter/incident-reporter-api/-/merge_requests/4423#note_245470", "why is this needed - I think UI is handling this conversion - so you should send utc time only for these 
We have to handle any conversion in export , pdf or comment - as they can't handle - rest all should be utc only")</f>
        <v/>
      </c>
      <c r="L3177" t="inlineStr">
        <is>
          <t>2025-08-01 15:23:44.829 IST</t>
        </is>
      </c>
      <c r="M3177" t="inlineStr">
        <is>
          <t>Harish</t>
        </is>
      </c>
      <c r="N3177" t="inlineStr">
        <is>
          <t>Yes</t>
        </is>
      </c>
      <c r="O3177" t="inlineStr">
        <is>
          <t>Yes</t>
        </is>
      </c>
      <c r="P3177" t="inlineStr">
        <is>
          <t>Harish</t>
        </is>
      </c>
      <c r="Q3177" t="inlineStr">
        <is>
          <t>Bad</t>
        </is>
      </c>
    </row>
    <row r="3178">
      <c r="A3178" t="inlineStr">
        <is>
          <t>lakhan.b</t>
        </is>
      </c>
      <c r="B3178" t="inlineStr">
        <is>
          <t>Lakhan Badure</t>
        </is>
      </c>
      <c r="C3178" t="inlineStr">
        <is>
          <t>lakhan.b@osmosys.co</t>
        </is>
      </c>
      <c r="D3178" t="inlineStr">
        <is>
          <t>incident-reporter</t>
        </is>
      </c>
      <c r="E3178">
        <f>HYPERLINK("http://gitlab.osmosys.co/incident-reporter/incident-reporter-api", "OQSHA-API")</f>
        <v/>
      </c>
      <c r="F3178">
        <f>HYPERLINK("http://gitlab.osmosys.co/incident-reporter/incident-reporter-api/-/merge_requests/4423", "fix: fetch master KPI details &amp; List")</f>
        <v/>
      </c>
      <c r="G3178" t="inlineStr">
        <is>
          <t>feat/get-kpi-details</t>
        </is>
      </c>
      <c r="H3178" t="inlineStr">
        <is>
          <t>sprint-19</t>
        </is>
      </c>
      <c r="I3178" t="inlineStr">
        <is>
          <t>merged</t>
        </is>
      </c>
      <c r="J3178" t="inlineStr">
        <is>
          <t>a5ee05c4e1d8e0d74326659c4d6f3718417ba221</t>
        </is>
      </c>
      <c r="K3178">
        <f>HYPERLINK("http://gitlab.osmosys.co/incident-reporter/incident-reporter-api/-/merge_requests/4423#note_245614", "Removed time conversion")</f>
        <v/>
      </c>
      <c r="L3178" t="inlineStr">
        <is>
          <t>2025-08-01 16:51:09.606 IST</t>
        </is>
      </c>
      <c r="M3178" t="inlineStr">
        <is>
          <t>Lakhan Badure</t>
        </is>
      </c>
      <c r="N3178" t="inlineStr">
        <is>
          <t>No</t>
        </is>
      </c>
      <c r="O3178" t="inlineStr">
        <is>
          <t>Yes</t>
        </is>
      </c>
      <c r="P3178" t="inlineStr">
        <is>
          <t>Harish</t>
        </is>
      </c>
      <c r="Q3178" t="inlineStr">
        <is>
          <t>Bad</t>
        </is>
      </c>
    </row>
    <row r="3179">
      <c r="A3179" t="inlineStr">
        <is>
          <t>lakhan.b</t>
        </is>
      </c>
      <c r="B3179" t="inlineStr">
        <is>
          <t>Lakhan Badure</t>
        </is>
      </c>
      <c r="C3179" t="inlineStr">
        <is>
          <t>lakhan.b@osmosys.co</t>
        </is>
      </c>
      <c r="D3179" t="inlineStr">
        <is>
          <t>incident-reporter</t>
        </is>
      </c>
      <c r="E3179">
        <f>HYPERLINK("http://gitlab.osmosys.co/incident-reporter/incident-reporter-api", "OQSHA-API")</f>
        <v/>
      </c>
      <c r="F3179">
        <f>HYPERLINK("http://gitlab.osmosys.co/incident-reporter/incident-reporter-api/-/merge_requests/4399", "Feat/get employee kpi")</f>
        <v/>
      </c>
      <c r="G3179" t="inlineStr">
        <is>
          <t>feat/get-employee-kpi</t>
        </is>
      </c>
      <c r="H3179" t="inlineStr">
        <is>
          <t>sprint-19</t>
        </is>
      </c>
      <c r="I3179" t="inlineStr">
        <is>
          <t>opened</t>
        </is>
      </c>
      <c r="J3179" t="inlineStr"/>
      <c r="K3179" t="inlineStr"/>
      <c r="L3179" t="inlineStr"/>
      <c r="M3179" t="inlineStr"/>
      <c r="N3179" t="inlineStr"/>
      <c r="O3179" t="inlineStr"/>
      <c r="P3179" t="inlineStr"/>
      <c r="Q3179" t="inlineStr"/>
    </row>
    <row r="3180">
      <c r="A3180" t="inlineStr">
        <is>
          <t>lakhan.b</t>
        </is>
      </c>
      <c r="B3180" t="inlineStr">
        <is>
          <t>Lakhan Badure</t>
        </is>
      </c>
      <c r="C3180" t="inlineStr">
        <is>
          <t>lakhan.b@osmosys.co</t>
        </is>
      </c>
      <c r="D3180" t="inlineStr">
        <is>
          <t>incident-reporter</t>
        </is>
      </c>
      <c r="E3180">
        <f>HYPERLINK("http://gitlab.osmosys.co/incident-reporter/incident-reporter-api", "OQSHA-API")</f>
        <v/>
      </c>
      <c r="F3180">
        <f>HYPERLINK("http://gitlab.osmosys.co/incident-reporter/incident-reporter-api/-/merge_requests/4331", "fix: add moc uid sorting feature in list api")</f>
        <v/>
      </c>
      <c r="G3180" t="inlineStr">
        <is>
          <t>fix/add-moc-uid-sort</t>
        </is>
      </c>
      <c r="H3180" t="inlineStr">
        <is>
          <t>sprint-17</t>
        </is>
      </c>
      <c r="I3180" t="inlineStr">
        <is>
          <t>merged</t>
        </is>
      </c>
      <c r="J3180" t="inlineStr"/>
      <c r="K3180" t="inlineStr"/>
      <c r="L3180" t="inlineStr"/>
      <c r="M3180" t="inlineStr"/>
      <c r="N3180" t="inlineStr"/>
      <c r="O3180" t="inlineStr"/>
      <c r="P3180" t="inlineStr"/>
      <c r="Q3180" t="inlineStr"/>
    </row>
    <row r="3181">
      <c r="A3181" t="inlineStr">
        <is>
          <t>lakhan.b</t>
        </is>
      </c>
      <c r="B3181" t="inlineStr">
        <is>
          <t>Lakhan Badure</t>
        </is>
      </c>
      <c r="C3181" t="inlineStr">
        <is>
          <t>lakhan.b@osmosys.co</t>
        </is>
      </c>
      <c r="D3181" t="inlineStr">
        <is>
          <t>incident-reporter</t>
        </is>
      </c>
      <c r="E3181">
        <f>HYPERLINK("http://gitlab.osmosys.co/incident-reporter/incident-reporter-api", "OQSHA-API")</f>
        <v/>
      </c>
      <c r="F3181">
        <f>HYPERLINK("http://gitlab.osmosys.co/incident-reporter/incident-reporter-api/-/merge_requests/4271", "feat: add incident status table and integrate it")</f>
        <v/>
      </c>
      <c r="G3181" t="inlineStr">
        <is>
          <t>feat/add-incident-status-table</t>
        </is>
      </c>
      <c r="H3181" t="inlineStr">
        <is>
          <t>sprint-18</t>
        </is>
      </c>
      <c r="I3181" t="inlineStr">
        <is>
          <t>opened</t>
        </is>
      </c>
      <c r="J3181" t="inlineStr"/>
      <c r="K3181" t="inlineStr"/>
      <c r="L3181" t="inlineStr"/>
      <c r="M3181" t="inlineStr"/>
      <c r="N3181" t="inlineStr"/>
      <c r="O3181" t="inlineStr"/>
      <c r="P3181" t="inlineStr"/>
      <c r="Q3181" t="inlineStr"/>
    </row>
    <row r="3182">
      <c r="A3182" t="inlineStr">
        <is>
          <t>lakhan.b</t>
        </is>
      </c>
      <c r="B3182" t="inlineStr">
        <is>
          <t>Lakhan Badure</t>
        </is>
      </c>
      <c r="C3182" t="inlineStr">
        <is>
          <t>lakhan.b@osmosys.co</t>
        </is>
      </c>
      <c r="D3182" t="inlineStr">
        <is>
          <t>incident-reporter</t>
        </is>
      </c>
      <c r="E3182">
        <f>HYPERLINK("http://gitlab.osmosys.co/incident-reporter/incident-reporter-api", "OQSHA-API")</f>
        <v/>
      </c>
      <c r="F3182">
        <f>HYPERLINK("http://gitlab.osmosys.co/incident-reporter/incident-reporter-api/-/merge_requests/4255", "feat: add incident management fir team post api functionality")</f>
        <v/>
      </c>
      <c r="G3182" t="inlineStr">
        <is>
          <t>feat/add-team-members</t>
        </is>
      </c>
      <c r="H3182" t="inlineStr">
        <is>
          <t>sprint-19</t>
        </is>
      </c>
      <c r="I3182" t="inlineStr">
        <is>
          <t>opened</t>
        </is>
      </c>
      <c r="J3182" t="inlineStr"/>
      <c r="K3182" t="inlineStr"/>
      <c r="L3182" t="inlineStr"/>
      <c r="M3182" t="inlineStr"/>
      <c r="N3182" t="inlineStr"/>
      <c r="O3182" t="inlineStr"/>
      <c r="P3182" t="inlineStr"/>
      <c r="Q3182" t="inlineStr"/>
    </row>
    <row r="3183">
      <c r="A3183" t="inlineStr">
        <is>
          <t>lakhan.b</t>
        </is>
      </c>
      <c r="B3183" t="inlineStr">
        <is>
          <t>Lakhan Badure</t>
        </is>
      </c>
      <c r="C3183" t="inlineStr">
        <is>
          <t>lakhan.b@osmosys.co</t>
        </is>
      </c>
      <c r="D3183" t="inlineStr">
        <is>
          <t>incident-reporter</t>
        </is>
      </c>
      <c r="E3183">
        <f>HYPERLINK("http://gitlab.osmosys.co/incident-reporter/incident-reporter-api", "OQSHA-API")</f>
        <v/>
      </c>
      <c r="F3183">
        <f>HYPERLINK("http://gitlab.osmosys.co/incident-reporter/incident-reporter-api/-/merge_requests/4248", "fix: de-duplicate the user involved &amp; assigned to name")</f>
        <v/>
      </c>
      <c r="G3183" t="inlineStr">
        <is>
          <t>fix/tickets-user-involved</t>
        </is>
      </c>
      <c r="H3183" t="inlineStr">
        <is>
          <t>sprint-17</t>
        </is>
      </c>
      <c r="I3183" t="inlineStr">
        <is>
          <t>merged</t>
        </is>
      </c>
      <c r="J3183" t="inlineStr"/>
      <c r="K3183" t="inlineStr"/>
      <c r="L3183" t="inlineStr"/>
      <c r="M3183" t="inlineStr"/>
      <c r="N3183" t="inlineStr"/>
      <c r="O3183" t="inlineStr"/>
      <c r="P3183" t="inlineStr"/>
      <c r="Q3183" t="inlineStr"/>
    </row>
    <row r="3184">
      <c r="A3184" t="inlineStr">
        <is>
          <t>lakhan.b</t>
        </is>
      </c>
      <c r="B3184" t="inlineStr">
        <is>
          <t>Lakhan Badure</t>
        </is>
      </c>
      <c r="C3184" t="inlineStr">
        <is>
          <t>lakhan.b@osmosys.co</t>
        </is>
      </c>
      <c r="D3184" t="inlineStr">
        <is>
          <t>incident-reporter</t>
        </is>
      </c>
      <c r="E3184">
        <f>HYPERLINK("http://gitlab.osmosys.co/incident-reporter/incident-reporter-api", "OQSHA-API")</f>
        <v/>
      </c>
      <c r="F3184">
        <f>HYPERLINK("http://gitlab.osmosys.co/incident-reporter/incident-reporter-api/-/merge_requests/4235", "feat: fetch list of incident management with pagination filter")</f>
        <v/>
      </c>
      <c r="G3184" t="inlineStr">
        <is>
          <t>feat/get-incident-management</t>
        </is>
      </c>
      <c r="H3184" t="inlineStr">
        <is>
          <t>sprint-18</t>
        </is>
      </c>
      <c r="I3184" t="inlineStr">
        <is>
          <t>opened</t>
        </is>
      </c>
      <c r="J3184" t="inlineStr"/>
      <c r="K3184" t="inlineStr"/>
      <c r="L3184" t="inlineStr"/>
      <c r="M3184" t="inlineStr"/>
      <c r="N3184" t="inlineStr"/>
      <c r="O3184" t="inlineStr"/>
      <c r="P3184" t="inlineStr"/>
      <c r="Q3184" t="inlineStr"/>
    </row>
    <row r="3185">
      <c r="A3185" t="inlineStr">
        <is>
          <t>lakhan.b</t>
        </is>
      </c>
      <c r="B3185" t="inlineStr">
        <is>
          <t>Lakhan Badure</t>
        </is>
      </c>
      <c r="C3185" t="inlineStr">
        <is>
          <t>lakhan.b@osmosys.co</t>
        </is>
      </c>
      <c r="D3185" t="inlineStr">
        <is>
          <t>incident-reporter</t>
        </is>
      </c>
      <c r="E3185">
        <f>HYPERLINK("http://gitlab.osmosys.co/incident-reporter/incident-reporter-api", "OQSHA-API")</f>
        <v/>
      </c>
      <c r="F3185">
        <f>HYPERLINK("http://gitlab.osmosys.co/incident-reporter/incident-reporter-api/-/merge_requests/4219", "fix: add org level date conversion for created on date")</f>
        <v/>
      </c>
      <c r="G3185" t="inlineStr">
        <is>
          <t>fix/export-date-format-moc</t>
        </is>
      </c>
      <c r="H3185" t="inlineStr">
        <is>
          <t>sprint-17</t>
        </is>
      </c>
      <c r="I3185" t="inlineStr">
        <is>
          <t>merged</t>
        </is>
      </c>
      <c r="J3185" t="inlineStr">
        <is>
          <t>c1795d8317581c03c15394562184af1232ab1560</t>
        </is>
      </c>
      <c r="K3185">
        <f>HYPERLINK("http://gitlab.osmosys.co/incident-reporter/incident-reporter-api/-/merge_requests/4219#note_238376", "Do we need for loop just for this??
Can't we handle it within query, is there any other appraoch to this?")</f>
        <v/>
      </c>
      <c r="L3185" t="inlineStr">
        <is>
          <t>2025-07-17 15:24:09.843 IST</t>
        </is>
      </c>
      <c r="M3185" t="inlineStr">
        <is>
          <t>Sindhusha</t>
        </is>
      </c>
      <c r="N3185" t="inlineStr">
        <is>
          <t>Yes</t>
        </is>
      </c>
      <c r="O3185" t="inlineStr">
        <is>
          <t>Yes</t>
        </is>
      </c>
      <c r="P3185" t="inlineStr">
        <is>
          <t>Sindhusha</t>
        </is>
      </c>
      <c r="Q3185" t="inlineStr">
        <is>
          <t>Bad</t>
        </is>
      </c>
    </row>
    <row r="3186">
      <c r="A3186" t="inlineStr">
        <is>
          <t>lakhan.b</t>
        </is>
      </c>
      <c r="B3186" t="inlineStr">
        <is>
          <t>Lakhan Badure</t>
        </is>
      </c>
      <c r="C3186" t="inlineStr">
        <is>
          <t>lakhan.b@osmosys.co</t>
        </is>
      </c>
      <c r="D3186" t="inlineStr">
        <is>
          <t>incident-reporter</t>
        </is>
      </c>
      <c r="E3186">
        <f>HYPERLINK("http://gitlab.osmosys.co/incident-reporter/incident-reporter-api", "OQSHA-API")</f>
        <v/>
      </c>
      <c r="F3186">
        <f>HYPERLINK("http://gitlab.osmosys.co/incident-reporter/incident-reporter-api/-/merge_requests/4219", "fix: add org level date conversion for created on date")</f>
        <v/>
      </c>
      <c r="G3186" t="inlineStr">
        <is>
          <t>fix/export-date-format-moc</t>
        </is>
      </c>
      <c r="H3186" t="inlineStr">
        <is>
          <t>sprint-17</t>
        </is>
      </c>
      <c r="I3186" t="inlineStr">
        <is>
          <t>merged</t>
        </is>
      </c>
      <c r="J3186" t="inlineStr">
        <is>
          <t>c1795d8317581c03c15394562184af1232ab1560</t>
        </is>
      </c>
      <c r="K3186">
        <f>HYPERLINK("http://gitlab.osmosys.co/incident-reporter/incident-reporter-api/-/merge_requests/4219#note_238377", "Yes we need to iterate over a list of fetched data and modify the time, this is not having DB calls its efficient for fast execution and same is implemented in other BLL as we followed")</f>
        <v/>
      </c>
      <c r="L3186" t="inlineStr">
        <is>
          <t>2025-07-17 15:25:52.027 IST</t>
        </is>
      </c>
      <c r="M3186" t="inlineStr">
        <is>
          <t>Lakhan Badure</t>
        </is>
      </c>
      <c r="N3186" t="inlineStr">
        <is>
          <t>No</t>
        </is>
      </c>
      <c r="O3186" t="inlineStr">
        <is>
          <t>Yes</t>
        </is>
      </c>
      <c r="P3186" t="inlineStr">
        <is>
          <t>Sindhusha</t>
        </is>
      </c>
      <c r="Q3186" t="inlineStr">
        <is>
          <t>Bad</t>
        </is>
      </c>
    </row>
    <row r="3187">
      <c r="A3187" t="inlineStr">
        <is>
          <t>lakhan.b</t>
        </is>
      </c>
      <c r="B3187" t="inlineStr">
        <is>
          <t>Lakhan Badure</t>
        </is>
      </c>
      <c r="C3187" t="inlineStr">
        <is>
          <t>lakhan.b@osmosys.co</t>
        </is>
      </c>
      <c r="D3187" t="inlineStr">
        <is>
          <t>incident-reporter</t>
        </is>
      </c>
      <c r="E3187">
        <f>HYPERLINK("http://gitlab.osmosys.co/incident-reporter/incident-reporter-api", "OQSHA-API")</f>
        <v/>
      </c>
      <c r="F3187">
        <f>HYPERLINK("http://gitlab.osmosys.co/incident-reporter/incident-reporter-api/-/merge_requests/4219", "fix: add org level date conversion for created on date")</f>
        <v/>
      </c>
      <c r="G3187" t="inlineStr">
        <is>
          <t>fix/export-date-format-moc</t>
        </is>
      </c>
      <c r="H3187" t="inlineStr">
        <is>
          <t>sprint-17</t>
        </is>
      </c>
      <c r="I3187" t="inlineStr">
        <is>
          <t>merged</t>
        </is>
      </c>
      <c r="J3187" t="inlineStr">
        <is>
          <t>c1795d8317581c03c15394562184af1232ab1560</t>
        </is>
      </c>
      <c r="K3187">
        <f>HYPERLINK("http://gitlab.osmosys.co/incident-reporter/incident-reporter-api/-/merge_requests/4219#note_238671", "Can it be handled within repo query itself?")</f>
        <v/>
      </c>
      <c r="L3187" t="inlineStr">
        <is>
          <t>2025-07-18 09:41:12.017 IST</t>
        </is>
      </c>
      <c r="M3187" t="inlineStr">
        <is>
          <t>Sindhusha</t>
        </is>
      </c>
      <c r="N3187" t="inlineStr">
        <is>
          <t>Yes</t>
        </is>
      </c>
      <c r="O3187" t="inlineStr">
        <is>
          <t>Yes</t>
        </is>
      </c>
      <c r="P3187" t="inlineStr">
        <is>
          <t>Sindhusha</t>
        </is>
      </c>
      <c r="Q3187" t="inlineStr">
        <is>
          <t>Bad</t>
        </is>
      </c>
    </row>
    <row r="3188">
      <c r="A3188" t="inlineStr">
        <is>
          <t>lakhan.b</t>
        </is>
      </c>
      <c r="B3188" t="inlineStr">
        <is>
          <t>Lakhan Badure</t>
        </is>
      </c>
      <c r="C3188" t="inlineStr">
        <is>
          <t>lakhan.b@osmosys.co</t>
        </is>
      </c>
      <c r="D3188" t="inlineStr">
        <is>
          <t>incident-reporter</t>
        </is>
      </c>
      <c r="E3188">
        <f>HYPERLINK("http://gitlab.osmosys.co/incident-reporter/incident-reporter-api", "OQSHA-API")</f>
        <v/>
      </c>
      <c r="F3188">
        <f>HYPERLINK("http://gitlab.osmosys.co/incident-reporter/incident-reporter-api/-/merge_requests/4219", "fix: add org level date conversion for created on date")</f>
        <v/>
      </c>
      <c r="G3188" t="inlineStr">
        <is>
          <t>fix/export-date-format-moc</t>
        </is>
      </c>
      <c r="H3188" t="inlineStr">
        <is>
          <t>sprint-17</t>
        </is>
      </c>
      <c r="I3188" t="inlineStr">
        <is>
          <t>merged</t>
        </is>
      </c>
      <c r="J3188" t="inlineStr">
        <is>
          <t>c1795d8317581c03c15394562184af1232ab1560</t>
        </is>
      </c>
      <c r="K3188">
        <f>HYPERLINK("http://gitlab.osmosys.co/incident-reporter/incident-reporter-api/-/merge_requests/4219#note_238672", "Its business level logic that we use org time zone and modify the DateTime to specific format")</f>
        <v/>
      </c>
      <c r="L3188" t="inlineStr">
        <is>
          <t>2025-07-18 09:45:39.082 IST</t>
        </is>
      </c>
      <c r="M3188" t="inlineStr">
        <is>
          <t>Lakhan Badure</t>
        </is>
      </c>
      <c r="N3188" t="inlineStr">
        <is>
          <t>No</t>
        </is>
      </c>
      <c r="O3188" t="inlineStr">
        <is>
          <t>Yes</t>
        </is>
      </c>
      <c r="P3188" t="inlineStr">
        <is>
          <t>Sindhusha</t>
        </is>
      </c>
      <c r="Q3188" t="inlineStr">
        <is>
          <t>Bad</t>
        </is>
      </c>
    </row>
    <row r="3189">
      <c r="A3189" t="inlineStr">
        <is>
          <t>lakhan.b</t>
        </is>
      </c>
      <c r="B3189" t="inlineStr">
        <is>
          <t>Lakhan Badure</t>
        </is>
      </c>
      <c r="C3189" t="inlineStr">
        <is>
          <t>lakhan.b@osmosys.co</t>
        </is>
      </c>
      <c r="D3189" t="inlineStr">
        <is>
          <t>incident-reporter</t>
        </is>
      </c>
      <c r="E3189">
        <f>HYPERLINK("http://gitlab.osmosys.co/incident-reporter/incident-reporter-api", "OQSHA-API")</f>
        <v/>
      </c>
      <c r="F3189">
        <f>HYPERLINK("http://gitlab.osmosys.co/incident-reporter/incident-reporter-api/-/merge_requests/4208", "feat: add moc create notification for list of approvers")</f>
        <v/>
      </c>
      <c r="G3189" t="inlineStr">
        <is>
          <t>feat/moc-create-notification</t>
        </is>
      </c>
      <c r="H3189" t="inlineStr">
        <is>
          <t>sprint-17</t>
        </is>
      </c>
      <c r="I3189" t="inlineStr">
        <is>
          <t>merged</t>
        </is>
      </c>
      <c r="J3189" t="inlineStr"/>
      <c r="K3189" t="inlineStr"/>
      <c r="L3189" t="inlineStr"/>
      <c r="M3189" t="inlineStr"/>
      <c r="N3189" t="inlineStr"/>
      <c r="O3189" t="inlineStr"/>
      <c r="P3189" t="inlineStr"/>
      <c r="Q3189" t="inlineStr"/>
    </row>
    <row r="3190">
      <c r="A3190" t="inlineStr">
        <is>
          <t>lakhan.b</t>
        </is>
      </c>
      <c r="B3190" t="inlineStr">
        <is>
          <t>Lakhan Badure</t>
        </is>
      </c>
      <c r="C3190" t="inlineStr">
        <is>
          <t>lakhan.b@osmosys.co</t>
        </is>
      </c>
      <c r="D3190" t="inlineStr">
        <is>
          <t>incident-reporter</t>
        </is>
      </c>
      <c r="E3190">
        <f>HYPERLINK("http://gitlab.osmosys.co/incident-reporter/incident-reporter-api", "OQSHA-API")</f>
        <v/>
      </c>
      <c r="F3190">
        <f>HYPERLINK("http://gitlab.osmosys.co/incident-reporter/incident-reporter-api/-/merge_requests/4189", "fix: rectify the history comment generation for moc category")</f>
        <v/>
      </c>
      <c r="G3190" t="inlineStr">
        <is>
          <t>fix/moc-category-history</t>
        </is>
      </c>
      <c r="H3190" t="inlineStr">
        <is>
          <t>sprint-17</t>
        </is>
      </c>
      <c r="I3190" t="inlineStr">
        <is>
          <t>merged</t>
        </is>
      </c>
      <c r="J3190" t="inlineStr"/>
      <c r="K3190" t="inlineStr"/>
      <c r="L3190" t="inlineStr"/>
      <c r="M3190" t="inlineStr"/>
      <c r="N3190" t="inlineStr"/>
      <c r="O3190" t="inlineStr"/>
      <c r="P3190" t="inlineStr"/>
      <c r="Q3190" t="inlineStr"/>
    </row>
    <row r="3191">
      <c r="A3191" t="inlineStr">
        <is>
          <t>lakhan.b</t>
        </is>
      </c>
      <c r="B3191" t="inlineStr">
        <is>
          <t>Lakhan Badure</t>
        </is>
      </c>
      <c r="C3191" t="inlineStr">
        <is>
          <t>lakhan.b@osmosys.co</t>
        </is>
      </c>
      <c r="D3191" t="inlineStr">
        <is>
          <t>incident-reporter</t>
        </is>
      </c>
      <c r="E3191">
        <f>HYPERLINK("http://gitlab.osmosys.co/incident-reporter/incident-reporter-api", "OQSHA-API")</f>
        <v/>
      </c>
      <c r="F3191">
        <f>HYPERLINK("http://gitlab.osmosys.co/incident-reporter/incident-reporter-api/-/merge_requests/4172", "fix: rectify the file path to follow existing standard")</f>
        <v/>
      </c>
      <c r="G3191" t="inlineStr">
        <is>
          <t>fix/file-path-moc</t>
        </is>
      </c>
      <c r="H3191" t="inlineStr">
        <is>
          <t>sprint-17</t>
        </is>
      </c>
      <c r="I3191" t="inlineStr">
        <is>
          <t>merged</t>
        </is>
      </c>
      <c r="J3191" t="inlineStr"/>
      <c r="K3191" t="inlineStr"/>
      <c r="L3191" t="inlineStr"/>
      <c r="M3191" t="inlineStr"/>
      <c r="N3191" t="inlineStr"/>
      <c r="O3191" t="inlineStr"/>
      <c r="P3191" t="inlineStr"/>
      <c r="Q3191" t="inlineStr"/>
    </row>
    <row r="3192">
      <c r="A3192" t="inlineStr">
        <is>
          <t>lakhan.b</t>
        </is>
      </c>
      <c r="B3192" t="inlineStr">
        <is>
          <t>Lakhan Badure</t>
        </is>
      </c>
      <c r="C3192" t="inlineStr">
        <is>
          <t>lakhan.b@osmosys.co</t>
        </is>
      </c>
      <c r="D3192" t="inlineStr">
        <is>
          <t>incident-reporter</t>
        </is>
      </c>
      <c r="E3192">
        <f>HYPERLINK("http://gitlab.osmosys.co/incident-reporter/incident-reporter-api", "OQSHA-API")</f>
        <v/>
      </c>
      <c r="F3192">
        <f>HYPERLINK("http://gitlab.osmosys.co/incident-reporter/incident-reporter-api/-/merge_requests/4171", "fix: add sorting and formatting for incident property")</f>
        <v/>
      </c>
      <c r="G3192" t="inlineStr">
        <is>
          <t>fix/get-incident</t>
        </is>
      </c>
      <c r="H3192" t="inlineStr">
        <is>
          <t>sprint-17</t>
        </is>
      </c>
      <c r="I3192" t="inlineStr">
        <is>
          <t>merged</t>
        </is>
      </c>
      <c r="J3192" t="inlineStr">
        <is>
          <t>db72f3de39a2838ab2ee2cee8a5f9d0f75687103</t>
        </is>
      </c>
      <c r="K3192">
        <f>HYPERLINK("http://gitlab.osmosys.co/incident-reporter/incident-reporter-api/-/merge_requests/4171#note_236659", "I dont see sorting on the status on the UI, do we need it?")</f>
        <v/>
      </c>
      <c r="L3192" t="inlineStr">
        <is>
          <t>2025-07-15 11:53:09.463 IST</t>
        </is>
      </c>
      <c r="M3192" t="inlineStr">
        <is>
          <t>Sindhusha</t>
        </is>
      </c>
      <c r="N3192" t="inlineStr">
        <is>
          <t>Yes</t>
        </is>
      </c>
      <c r="O3192" t="inlineStr">
        <is>
          <t>Yes</t>
        </is>
      </c>
      <c r="P3192" t="inlineStr">
        <is>
          <t>Sindhusha</t>
        </is>
      </c>
      <c r="Q3192" t="inlineStr">
        <is>
          <t>Good</t>
        </is>
      </c>
    </row>
    <row r="3193">
      <c r="A3193" t="inlineStr">
        <is>
          <t>lakhan.b</t>
        </is>
      </c>
      <c r="B3193" t="inlineStr">
        <is>
          <t>Lakhan Badure</t>
        </is>
      </c>
      <c r="C3193" t="inlineStr">
        <is>
          <t>lakhan.b@osmosys.co</t>
        </is>
      </c>
      <c r="D3193" t="inlineStr">
        <is>
          <t>incident-reporter</t>
        </is>
      </c>
      <c r="E3193">
        <f>HYPERLINK("http://gitlab.osmosys.co/incident-reporter/incident-reporter-api", "OQSHA-API")</f>
        <v/>
      </c>
      <c r="F3193">
        <f>HYPERLINK("http://gitlab.osmosys.co/incident-reporter/incident-reporter-api/-/merge_requests/4171", "fix: add sorting and formatting for incident property")</f>
        <v/>
      </c>
      <c r="G3193" t="inlineStr">
        <is>
          <t>fix/get-incident</t>
        </is>
      </c>
      <c r="H3193" t="inlineStr">
        <is>
          <t>sprint-17</t>
        </is>
      </c>
      <c r="I3193" t="inlineStr">
        <is>
          <t>merged</t>
        </is>
      </c>
      <c r="J3193" t="inlineStr">
        <is>
          <t>db72f3de39a2838ab2ee2cee8a5f9d0f75687103</t>
        </is>
      </c>
      <c r="K3193">
        <f>HYPERLINK("http://gitlab.osmosys.co/incident-reporter/incident-reporter-api/-/merge_requests/4171#note_236664", "Yes i have got confirmation from UI team that they are sorting [UI team comment link](https://pinestem.com/dashboard.html#/tasks/INRT-3930/details/?companyId=453&amp;isPrevNext=1&amp;cmntID=1067507)
![image](/uploads/5d081e213ee7f219d2a072172fc3717f/image.png)")</f>
        <v/>
      </c>
      <c r="L3193" t="inlineStr">
        <is>
          <t>2025-07-15 11:58:28.427 IST</t>
        </is>
      </c>
      <c r="M3193" t="inlineStr">
        <is>
          <t>Lakhan Badure</t>
        </is>
      </c>
      <c r="N3193" t="inlineStr">
        <is>
          <t>No</t>
        </is>
      </c>
      <c r="O3193" t="inlineStr">
        <is>
          <t>Yes</t>
        </is>
      </c>
      <c r="P3193" t="inlineStr">
        <is>
          <t>Sindhusha</t>
        </is>
      </c>
      <c r="Q3193" t="inlineStr">
        <is>
          <t>Good</t>
        </is>
      </c>
    </row>
    <row r="3194">
      <c r="A3194" t="inlineStr">
        <is>
          <t>lakhan.b</t>
        </is>
      </c>
      <c r="B3194" t="inlineStr">
        <is>
          <t>Lakhan Badure</t>
        </is>
      </c>
      <c r="C3194" t="inlineStr">
        <is>
          <t>lakhan.b@osmosys.co</t>
        </is>
      </c>
      <c r="D3194" t="inlineStr">
        <is>
          <t>incident-reporter</t>
        </is>
      </c>
      <c r="E3194">
        <f>HYPERLINK("http://gitlab.osmosys.co/incident-reporter/incident-reporter-api", "OQSHA-API")</f>
        <v/>
      </c>
      <c r="F3194">
        <f>HYPERLINK("http://gitlab.osmosys.co/incident-reporter/incident-reporter-api/-/merge_requests/4157", "fix: rectify issue for ptw dash board CRON")</f>
        <v/>
      </c>
      <c r="G3194" t="inlineStr">
        <is>
          <t>feature/ptw-dashboard-fix</t>
        </is>
      </c>
      <c r="H3194" t="inlineStr">
        <is>
          <t>sprint-16_v2</t>
        </is>
      </c>
      <c r="I3194" t="inlineStr">
        <is>
          <t>merged</t>
        </is>
      </c>
      <c r="J3194" t="inlineStr"/>
      <c r="K3194" t="inlineStr"/>
      <c r="L3194" t="inlineStr"/>
      <c r="M3194" t="inlineStr"/>
      <c r="N3194" t="inlineStr"/>
      <c r="O3194" t="inlineStr"/>
      <c r="P3194" t="inlineStr"/>
      <c r="Q3194" t="inlineStr"/>
    </row>
    <row r="3195">
      <c r="A3195" t="inlineStr">
        <is>
          <t>lakhan.b</t>
        </is>
      </c>
      <c r="B3195" t="inlineStr">
        <is>
          <t>Lakhan Badure</t>
        </is>
      </c>
      <c r="C3195" t="inlineStr">
        <is>
          <t>lakhan.b@osmosys.co</t>
        </is>
      </c>
      <c r="D3195" t="inlineStr">
        <is>
          <t>incident-reporter</t>
        </is>
      </c>
      <c r="E3195">
        <f>HYPERLINK("http://gitlab.osmosys.co/incident-reporter/incident-reporter-api", "OQSHA-API")</f>
        <v/>
      </c>
      <c r="F3195">
        <f>HYPERLINK("http://gitlab.osmosys.co/incident-reporter/incident-reporter-api/-/merge_requests/4153", "fix: update constants modules with inheritance")</f>
        <v/>
      </c>
      <c r="G3195" t="inlineStr">
        <is>
          <t>fix/user-drop-down</t>
        </is>
      </c>
      <c r="H3195" t="inlineStr">
        <is>
          <t>sprint-17</t>
        </is>
      </c>
      <c r="I3195" t="inlineStr">
        <is>
          <t>merged</t>
        </is>
      </c>
      <c r="J3195" t="inlineStr"/>
      <c r="K3195" t="inlineStr"/>
      <c r="L3195" t="inlineStr"/>
      <c r="M3195" t="inlineStr"/>
      <c r="N3195" t="inlineStr"/>
      <c r="O3195" t="inlineStr"/>
      <c r="P3195" t="inlineStr"/>
      <c r="Q3195" t="inlineStr"/>
    </row>
    <row r="3196">
      <c r="A3196" t="inlineStr">
        <is>
          <t>lakhan.b</t>
        </is>
      </c>
      <c r="B3196" t="inlineStr">
        <is>
          <t>Lakhan Badure</t>
        </is>
      </c>
      <c r="C3196" t="inlineStr">
        <is>
          <t>lakhan.b@osmosys.co</t>
        </is>
      </c>
      <c r="D3196" t="inlineStr">
        <is>
          <t>incident-reporter</t>
        </is>
      </c>
      <c r="E3196">
        <f>HYPERLINK("http://gitlab.osmosys.co/incident-reporter/incident-reporter-api", "OQSHA-API")</f>
        <v/>
      </c>
      <c r="F3196">
        <f>HYPERLINK("http://gitlab.osmosys.co/incident-reporter/incident-reporter-api/-/merge_requests/4137", "feat: add department details in signature permit to work")</f>
        <v/>
      </c>
      <c r="G3196" t="inlineStr">
        <is>
          <t>feat/add-department-signature</t>
        </is>
      </c>
      <c r="H3196" t="inlineStr">
        <is>
          <t>sprint-17</t>
        </is>
      </c>
      <c r="I3196" t="inlineStr">
        <is>
          <t>merged</t>
        </is>
      </c>
      <c r="J3196" t="inlineStr"/>
      <c r="K3196" t="inlineStr"/>
      <c r="L3196" t="inlineStr"/>
      <c r="M3196" t="inlineStr"/>
      <c r="N3196" t="inlineStr"/>
      <c r="O3196" t="inlineStr"/>
      <c r="P3196" t="inlineStr"/>
      <c r="Q3196" t="inlineStr"/>
    </row>
    <row r="3197">
      <c r="A3197" t="inlineStr">
        <is>
          <t>lakhan.b</t>
        </is>
      </c>
      <c r="B3197" t="inlineStr">
        <is>
          <t>Lakhan Badure</t>
        </is>
      </c>
      <c r="C3197" t="inlineStr">
        <is>
          <t>lakhan.b@osmosys.co</t>
        </is>
      </c>
      <c r="D3197" t="inlineStr">
        <is>
          <t>incident-reporter</t>
        </is>
      </c>
      <c r="E3197">
        <f>HYPERLINK("http://gitlab.osmosys.co/incident-reporter/incident-reporter-api", "OQSHA-API")</f>
        <v/>
      </c>
      <c r="F3197">
        <f>HYPERLINK("http://gitlab.osmosys.co/incident-reporter/incident-reporter-api/-/merge_requests/4131", "fix: add migration for replacing incident pdf")</f>
        <v/>
      </c>
      <c r="G3197" t="inlineStr">
        <is>
          <t>fix/incident-pdf-migration</t>
        </is>
      </c>
      <c r="H3197" t="inlineStr">
        <is>
          <t>sprint-17</t>
        </is>
      </c>
      <c r="I3197" t="inlineStr">
        <is>
          <t>merged</t>
        </is>
      </c>
      <c r="J3197" t="inlineStr">
        <is>
          <t>d316981a13f74a3e191c3112df7c8fa60a819560</t>
        </is>
      </c>
      <c r="K3197">
        <f>HYPERLINK("http://gitlab.osmosys.co/incident-reporter/incident-reporter-api/-/merge_requests/4131#note_235172", "Add if clause, if property exists, then only show it. Due date is optional.")</f>
        <v/>
      </c>
      <c r="L3197" t="inlineStr">
        <is>
          <t>2025-07-11 14:20:23.330 IST</t>
        </is>
      </c>
      <c r="M3197" t="inlineStr">
        <is>
          <t>Sindhusha</t>
        </is>
      </c>
      <c r="N3197" t="inlineStr">
        <is>
          <t>Yes</t>
        </is>
      </c>
      <c r="O3197" t="inlineStr">
        <is>
          <t>Yes</t>
        </is>
      </c>
      <c r="P3197" t="inlineStr">
        <is>
          <t>Sindhusha</t>
        </is>
      </c>
      <c r="Q3197" t="inlineStr">
        <is>
          <t>Bad</t>
        </is>
      </c>
    </row>
    <row r="3198">
      <c r="A3198" t="inlineStr">
        <is>
          <t>lakhan.b</t>
        </is>
      </c>
      <c r="B3198" t="inlineStr">
        <is>
          <t>Lakhan Badure</t>
        </is>
      </c>
      <c r="C3198" t="inlineStr">
        <is>
          <t>lakhan.b@osmosys.co</t>
        </is>
      </c>
      <c r="D3198" t="inlineStr">
        <is>
          <t>incident-reporter</t>
        </is>
      </c>
      <c r="E3198">
        <f>HYPERLINK("http://gitlab.osmosys.co/incident-reporter/incident-reporter-api", "OQSHA-API")</f>
        <v/>
      </c>
      <c r="F3198">
        <f>HYPERLINK("http://gitlab.osmosys.co/incident-reporter/incident-reporter-api/-/merge_requests/4131", "fix: add migration for replacing incident pdf")</f>
        <v/>
      </c>
      <c r="G3198" t="inlineStr">
        <is>
          <t>fix/incident-pdf-migration</t>
        </is>
      </c>
      <c r="H3198" t="inlineStr">
        <is>
          <t>sprint-17</t>
        </is>
      </c>
      <c r="I3198" t="inlineStr">
        <is>
          <t>merged</t>
        </is>
      </c>
      <c r="J3198" t="inlineStr">
        <is>
          <t>d316981a13f74a3e191c3112df7c8fa60a819560</t>
        </is>
      </c>
      <c r="K3198">
        <f>HYPERLINK("http://gitlab.osmosys.co/incident-reporter/incident-reporter-api/-/merge_requests/4131#note_235213", "Added dynamic validation in export helper it self
![image](/uploads/9919d85149713d87a993b560d47d8697/image.png)")</f>
        <v/>
      </c>
      <c r="L3198" t="inlineStr">
        <is>
          <t>2025-07-11 14:53:40.857 IST</t>
        </is>
      </c>
      <c r="M3198" t="inlineStr">
        <is>
          <t>Lakhan Badure</t>
        </is>
      </c>
      <c r="N3198" t="inlineStr">
        <is>
          <t>No</t>
        </is>
      </c>
      <c r="O3198" t="inlineStr">
        <is>
          <t>Yes</t>
        </is>
      </c>
      <c r="P3198" t="inlineStr">
        <is>
          <t>Sindhusha</t>
        </is>
      </c>
      <c r="Q3198" t="inlineStr">
        <is>
          <t>Bad</t>
        </is>
      </c>
    </row>
    <row r="3199">
      <c r="A3199" t="inlineStr">
        <is>
          <t>lakhan.b</t>
        </is>
      </c>
      <c r="B3199" t="inlineStr">
        <is>
          <t>Lakhan Badure</t>
        </is>
      </c>
      <c r="C3199" t="inlineStr">
        <is>
          <t>lakhan.b@osmosys.co</t>
        </is>
      </c>
      <c r="D3199" t="inlineStr">
        <is>
          <t>incident-reporter</t>
        </is>
      </c>
      <c r="E3199">
        <f>HYPERLINK("http://gitlab.osmosys.co/incident-reporter/incident-reporter-api", "OQSHA-API")</f>
        <v/>
      </c>
      <c r="F3199">
        <f>HYPERLINK("http://gitlab.osmosys.co/incident-reporter/incident-reporter-api/-/merge_requests/4131", "fix: add migration for replacing incident pdf")</f>
        <v/>
      </c>
      <c r="G3199" t="inlineStr">
        <is>
          <t>fix/incident-pdf-migration</t>
        </is>
      </c>
      <c r="H3199" t="inlineStr">
        <is>
          <t>sprint-17</t>
        </is>
      </c>
      <c r="I3199" t="inlineStr">
        <is>
          <t>merged</t>
        </is>
      </c>
      <c r="J3199" t="inlineStr">
        <is>
          <t>9a6e1c39bd982c2ac9ba18a5e6709e23266c99bb</t>
        </is>
      </c>
      <c r="K3199">
        <f>HYPERLINK("http://gitlab.osmosys.co/incident-reporter/incident-reporter-api/-/merge_requests/4131#note_235238", "we have org specific templates, how will this be reflected in those if there is no migration for this to copy &amp; paste this template in all those org specific folders.")</f>
        <v/>
      </c>
      <c r="L3199" t="inlineStr">
        <is>
          <t>2025-07-11 15:15:19.928 IST</t>
        </is>
      </c>
      <c r="M3199" t="inlineStr">
        <is>
          <t>Sindhusha</t>
        </is>
      </c>
      <c r="N3199" t="inlineStr">
        <is>
          <t>Yes</t>
        </is>
      </c>
      <c r="O3199" t="inlineStr">
        <is>
          <t>Yes</t>
        </is>
      </c>
      <c r="P3199" t="inlineStr">
        <is>
          <t>Sindhusha</t>
        </is>
      </c>
      <c r="Q3199" t="inlineStr">
        <is>
          <t>Bad</t>
        </is>
      </c>
    </row>
    <row r="3200">
      <c r="A3200" t="inlineStr">
        <is>
          <t>lakhan.b</t>
        </is>
      </c>
      <c r="B3200" t="inlineStr">
        <is>
          <t>Lakhan Badure</t>
        </is>
      </c>
      <c r="C3200" t="inlineStr">
        <is>
          <t>lakhan.b@osmosys.co</t>
        </is>
      </c>
      <c r="D3200" t="inlineStr">
        <is>
          <t>incident-reporter</t>
        </is>
      </c>
      <c r="E3200">
        <f>HYPERLINK("http://gitlab.osmosys.co/incident-reporter/incident-reporter-api", "OQSHA-API")</f>
        <v/>
      </c>
      <c r="F3200">
        <f>HYPERLINK("http://gitlab.osmosys.co/incident-reporter/incident-reporter-api/-/merge_requests/4131", "fix: add migration for replacing incident pdf")</f>
        <v/>
      </c>
      <c r="G3200" t="inlineStr">
        <is>
          <t>fix/incident-pdf-migration</t>
        </is>
      </c>
      <c r="H3200" t="inlineStr">
        <is>
          <t>sprint-17</t>
        </is>
      </c>
      <c r="I3200" t="inlineStr">
        <is>
          <t>merged</t>
        </is>
      </c>
      <c r="J3200" t="inlineStr">
        <is>
          <t>9a6e1c39bd982c2ac9ba18a5e6709e23266c99bb</t>
        </is>
      </c>
      <c r="K3200">
        <f>HYPERLINK("http://gitlab.osmosys.co/incident-reporter/incident-reporter-api/-/merge_requests/4131#note_235245", "The migration if (sprintNumber == "17_INRT-3913") it self is used to overwrite the existing old template with this new template")</f>
        <v/>
      </c>
      <c r="L3200" t="inlineStr">
        <is>
          <t>2025-07-11 15:26:51.279 IST</t>
        </is>
      </c>
      <c r="M3200" t="inlineStr">
        <is>
          <t>Lakhan Badure</t>
        </is>
      </c>
      <c r="N3200" t="inlineStr">
        <is>
          <t>No</t>
        </is>
      </c>
      <c r="O3200" t="inlineStr">
        <is>
          <t>Yes</t>
        </is>
      </c>
      <c r="P3200" t="inlineStr">
        <is>
          <t>Sindhusha</t>
        </is>
      </c>
      <c r="Q3200" t="inlineStr">
        <is>
          <t>Bad</t>
        </is>
      </c>
    </row>
    <row r="3201">
      <c r="A3201" t="inlineStr">
        <is>
          <t>lakhan.b</t>
        </is>
      </c>
      <c r="B3201" t="inlineStr">
        <is>
          <t>Lakhan Badure</t>
        </is>
      </c>
      <c r="C3201" t="inlineStr">
        <is>
          <t>lakhan.b@osmosys.co</t>
        </is>
      </c>
      <c r="D3201" t="inlineStr">
        <is>
          <t>incident-reporter</t>
        </is>
      </c>
      <c r="E3201">
        <f>HYPERLINK("http://gitlab.osmosys.co/incident-reporter/incident-reporter-api", "OQSHA-API")</f>
        <v/>
      </c>
      <c r="F3201">
        <f>HYPERLINK("http://gitlab.osmosys.co/incident-reporter/incident-reporter-api/-/merge_requests/4131", "fix: add migration for replacing incident pdf")</f>
        <v/>
      </c>
      <c r="G3201" t="inlineStr">
        <is>
          <t>fix/incident-pdf-migration</t>
        </is>
      </c>
      <c r="H3201" t="inlineStr">
        <is>
          <t>sprint-17</t>
        </is>
      </c>
      <c r="I3201" t="inlineStr">
        <is>
          <t>merged</t>
        </is>
      </c>
      <c r="J3201" t="inlineStr">
        <is>
          <t>9a6e1c39bd982c2ac9ba18a5e6709e23266c99bb</t>
        </is>
      </c>
      <c r="K3201">
        <f>HYPERLINK("http://gitlab.osmosys.co/incident-reporter/incident-reporter-api/-/merge_requests/4131#note_235252", "Add it in the deployment checklist, we will do that.")</f>
        <v/>
      </c>
      <c r="L3201" t="inlineStr">
        <is>
          <t>2025-07-11 15:30:26.696 IST</t>
        </is>
      </c>
      <c r="M3201" t="inlineStr">
        <is>
          <t>Sindhusha</t>
        </is>
      </c>
      <c r="N3201" t="inlineStr">
        <is>
          <t>Yes</t>
        </is>
      </c>
      <c r="O3201" t="inlineStr">
        <is>
          <t>Yes</t>
        </is>
      </c>
      <c r="P3201" t="inlineStr">
        <is>
          <t>Sindhusha</t>
        </is>
      </c>
      <c r="Q3201" t="inlineStr">
        <is>
          <t>Bad</t>
        </is>
      </c>
    </row>
    <row r="3202">
      <c r="A3202" t="inlineStr">
        <is>
          <t>lakhan.b</t>
        </is>
      </c>
      <c r="B3202" t="inlineStr">
        <is>
          <t>Lakhan Badure</t>
        </is>
      </c>
      <c r="C3202" t="inlineStr">
        <is>
          <t>lakhan.b@osmosys.co</t>
        </is>
      </c>
      <c r="D3202" t="inlineStr">
        <is>
          <t>incident-reporter</t>
        </is>
      </c>
      <c r="E3202">
        <f>HYPERLINK("http://gitlab.osmosys.co/incident-reporter/incident-reporter-api", "OQSHA-API")</f>
        <v/>
      </c>
      <c r="F3202">
        <f>HYPERLINK("http://gitlab.osmosys.co/incident-reporter/incident-reporter-api/-/merge_requests/4130", "fix: add migration for incident PDF template changes")</f>
        <v/>
      </c>
      <c r="G3202" t="inlineStr">
        <is>
          <t>fix/migration-incident-pdf</t>
        </is>
      </c>
      <c r="H3202" t="inlineStr">
        <is>
          <t>sprint-17</t>
        </is>
      </c>
      <c r="I3202" t="inlineStr">
        <is>
          <t>opened</t>
        </is>
      </c>
      <c r="J3202" t="inlineStr"/>
      <c r="K3202" t="inlineStr"/>
      <c r="L3202" t="inlineStr"/>
      <c r="M3202" t="inlineStr"/>
      <c r="N3202" t="inlineStr"/>
      <c r="O3202" t="inlineStr"/>
      <c r="P3202" t="inlineStr"/>
      <c r="Q3202" t="inlineStr"/>
    </row>
    <row r="3203">
      <c r="A3203" t="inlineStr">
        <is>
          <t>lakhan.b</t>
        </is>
      </c>
      <c r="B3203" t="inlineStr">
        <is>
          <t>Lakhan Badure</t>
        </is>
      </c>
      <c r="C3203" t="inlineStr">
        <is>
          <t>lakhan.b@osmosys.co</t>
        </is>
      </c>
      <c r="D3203" t="inlineStr">
        <is>
          <t>incident-reporter</t>
        </is>
      </c>
      <c r="E3203">
        <f>HYPERLINK("http://gitlab.osmosys.co/incident-reporter/incident-reporter-api", "OQSHA-API")</f>
        <v/>
      </c>
      <c r="F3203">
        <f>HYPERLINK("http://gitlab.osmosys.co/incident-reporter/incident-reporter-api/-/merge_requests/4122", "fix: rectify issue for ptw dash board CRON")</f>
        <v/>
      </c>
      <c r="G3203" t="inlineStr">
        <is>
          <t>fix/cron-ptw-dashboard</t>
        </is>
      </c>
      <c r="H3203" t="inlineStr">
        <is>
          <t>sprint-17</t>
        </is>
      </c>
      <c r="I3203" t="inlineStr">
        <is>
          <t>merged</t>
        </is>
      </c>
      <c r="J3203" t="inlineStr"/>
      <c r="K3203" t="inlineStr"/>
      <c r="L3203" t="inlineStr"/>
      <c r="M3203" t="inlineStr"/>
      <c r="N3203" t="inlineStr"/>
      <c r="O3203" t="inlineStr"/>
      <c r="P3203" t="inlineStr"/>
      <c r="Q3203" t="inlineStr"/>
    </row>
    <row r="3204">
      <c r="A3204" t="inlineStr">
        <is>
          <t>lakhan.b</t>
        </is>
      </c>
      <c r="B3204" t="inlineStr">
        <is>
          <t>Lakhan Badure</t>
        </is>
      </c>
      <c r="C3204" t="inlineStr">
        <is>
          <t>lakhan.b@osmosys.co</t>
        </is>
      </c>
      <c r="D3204" t="inlineStr">
        <is>
          <t>incident-reporter</t>
        </is>
      </c>
      <c r="E3204">
        <f>HYPERLINK("http://gitlab.osmosys.co/incident-reporter/incident-reporter-api", "OQSHA-API")</f>
        <v/>
      </c>
      <c r="F3204">
        <f>HYPERLINK("http://gitlab.osmosys.co/incident-reporter/incident-reporter-api/-/merge_requests/4120", "fix: rectify the issue of create incidnets")</f>
        <v/>
      </c>
      <c r="G3204" t="inlineStr">
        <is>
          <t>fix/create-incident</t>
        </is>
      </c>
      <c r="H3204" t="inlineStr">
        <is>
          <t>sprint-17</t>
        </is>
      </c>
      <c r="I3204" t="inlineStr">
        <is>
          <t>merged</t>
        </is>
      </c>
      <c r="J3204" t="inlineStr"/>
      <c r="K3204" t="inlineStr"/>
      <c r="L3204" t="inlineStr"/>
      <c r="M3204" t="inlineStr"/>
      <c r="N3204" t="inlineStr"/>
      <c r="O3204" t="inlineStr"/>
      <c r="P3204" t="inlineStr"/>
      <c r="Q3204" t="inlineStr"/>
    </row>
    <row r="3205">
      <c r="A3205" t="inlineStr">
        <is>
          <t>lakhan.b</t>
        </is>
      </c>
      <c r="B3205" t="inlineStr">
        <is>
          <t>Lakhan Badure</t>
        </is>
      </c>
      <c r="C3205" t="inlineStr">
        <is>
          <t>lakhan.b@osmosys.co</t>
        </is>
      </c>
      <c r="D3205" t="inlineStr">
        <is>
          <t>incident-reporter</t>
        </is>
      </c>
      <c r="E3205">
        <f>HYPERLINK("http://gitlab.osmosys.co/incident-reporter/incident-reporter-api", "OQSHA-API")</f>
        <v/>
      </c>
      <c r="F3205">
        <f>HYPERLINK("http://gitlab.osmosys.co/incident-reporter/incident-reporter-api/-/merge_requests/4100", "feat: add hourly cron config in ptw dashboard functions")</f>
        <v/>
      </c>
      <c r="G3205" t="inlineStr">
        <is>
          <t>feat/add-hourly-cron</t>
        </is>
      </c>
      <c r="H3205" t="inlineStr">
        <is>
          <t>sprint-18</t>
        </is>
      </c>
      <c r="I3205" t="inlineStr">
        <is>
          <t>merged</t>
        </is>
      </c>
      <c r="J3205" t="inlineStr"/>
      <c r="K3205" t="inlineStr"/>
      <c r="L3205" t="inlineStr"/>
      <c r="M3205" t="inlineStr"/>
      <c r="N3205" t="inlineStr"/>
      <c r="O3205" t="inlineStr"/>
      <c r="P3205" t="inlineStr"/>
      <c r="Q3205" t="inlineStr"/>
    </row>
    <row r="3206">
      <c r="A3206" t="inlineStr">
        <is>
          <t>lakhan.b</t>
        </is>
      </c>
      <c r="B3206" t="inlineStr">
        <is>
          <t>Lakhan Badure</t>
        </is>
      </c>
      <c r="C3206" t="inlineStr">
        <is>
          <t>lakhan.b@osmosys.co</t>
        </is>
      </c>
      <c r="D3206" t="inlineStr">
        <is>
          <t>incident-reporter</t>
        </is>
      </c>
      <c r="E3206">
        <f>HYPERLINK("http://gitlab.osmosys.co/incident-reporter/incident-reporter-api", "OQSHA-API")</f>
        <v/>
      </c>
      <c r="F3206">
        <f>HYPERLINK("http://gitlab.osmosys.co/incident-reporter/incident-reporter-api/-/merge_requests/4086", "feat: add new property show manual ptw option property in ptw preference")</f>
        <v/>
      </c>
      <c r="G3206" t="inlineStr">
        <is>
          <t>feat/ptw-pref-new-property</t>
        </is>
      </c>
      <c r="H3206" t="inlineStr">
        <is>
          <t>sprint-17</t>
        </is>
      </c>
      <c r="I3206" t="inlineStr">
        <is>
          <t>merged</t>
        </is>
      </c>
      <c r="J3206" t="inlineStr"/>
      <c r="K3206" t="inlineStr"/>
      <c r="L3206" t="inlineStr"/>
      <c r="M3206" t="inlineStr"/>
      <c r="N3206" t="inlineStr"/>
      <c r="O3206" t="inlineStr"/>
      <c r="P3206" t="inlineStr"/>
      <c r="Q3206" t="inlineStr"/>
    </row>
    <row r="3207">
      <c r="A3207" t="inlineStr">
        <is>
          <t>lakhan.b</t>
        </is>
      </c>
      <c r="B3207" t="inlineStr">
        <is>
          <t>Lakhan Badure</t>
        </is>
      </c>
      <c r="C3207" t="inlineStr">
        <is>
          <t>lakhan.b@osmosys.co</t>
        </is>
      </c>
      <c r="D3207" t="inlineStr">
        <is>
          <t>incident-reporter</t>
        </is>
      </c>
      <c r="E3207">
        <f>HYPERLINK("http://gitlab.osmosys.co/incident-reporter/incident-reporter-api", "OQSHA-API")</f>
        <v/>
      </c>
      <c r="F3207">
        <f>HYPERLINK("http://gitlab.osmosys.co/incident-reporter/incident-reporter-api/-/merge_requests/4083", "feat: add new property parent check id in checks json")</f>
        <v/>
      </c>
      <c r="G3207" t="inlineStr">
        <is>
          <t>feat/add-new-property-checks</t>
        </is>
      </c>
      <c r="H3207" t="inlineStr">
        <is>
          <t>sprint-17</t>
        </is>
      </c>
      <c r="I3207" t="inlineStr">
        <is>
          <t>merged</t>
        </is>
      </c>
      <c r="J3207" t="inlineStr"/>
      <c r="K3207" t="inlineStr"/>
      <c r="L3207" t="inlineStr"/>
      <c r="M3207" t="inlineStr"/>
      <c r="N3207" t="inlineStr"/>
      <c r="O3207" t="inlineStr"/>
      <c r="P3207" t="inlineStr"/>
      <c r="Q3207" t="inlineStr"/>
    </row>
    <row r="3208">
      <c r="A3208" t="inlineStr">
        <is>
          <t>lakhan.b</t>
        </is>
      </c>
      <c r="B3208" t="inlineStr">
        <is>
          <t>Lakhan Badure</t>
        </is>
      </c>
      <c r="C3208" t="inlineStr">
        <is>
          <t>lakhan.b@osmosys.co</t>
        </is>
      </c>
      <c r="D3208" t="inlineStr">
        <is>
          <t>incident-reporter</t>
        </is>
      </c>
      <c r="E3208">
        <f>HYPERLINK("http://gitlab.osmosys.co/incident-reporter/incident-reporter-api", "OQSHA-API")</f>
        <v/>
      </c>
      <c r="F3208">
        <f>HYPERLINK("http://gitlab.osmosys.co/incident-reporter/incident-reporter-api/-/merge_requests/4079", "feat: add new property in ptw preference to fetch allow cloning max days")</f>
        <v/>
      </c>
      <c r="G3208" t="inlineStr">
        <is>
          <t>feat/ptw-preference-new-property</t>
        </is>
      </c>
      <c r="H3208" t="inlineStr">
        <is>
          <t>sprint-17</t>
        </is>
      </c>
      <c r="I3208" t="inlineStr">
        <is>
          <t>merged</t>
        </is>
      </c>
      <c r="J3208" t="inlineStr">
        <is>
          <t>c7ddb400c106cad9d37c7634ae45f7fa39541606</t>
        </is>
      </c>
      <c r="K3208">
        <f>HYPERLINK("http://gitlab.osmosys.co/incident-reporter/incident-reporter-api/-/merge_requests/4079#note_233287", "why do we need this migration? Task scope is limited to adding a property &amp; checking if it coming in the preferences object.")</f>
        <v/>
      </c>
      <c r="L3208" t="inlineStr">
        <is>
          <t>2025-07-08 19:42:59.328 IST</t>
        </is>
      </c>
      <c r="M3208" t="inlineStr">
        <is>
          <t>Sindhusha</t>
        </is>
      </c>
      <c r="N3208" t="inlineStr">
        <is>
          <t>Yes</t>
        </is>
      </c>
      <c r="O3208" t="inlineStr">
        <is>
          <t>Yes</t>
        </is>
      </c>
      <c r="P3208" t="inlineStr">
        <is>
          <t>Sindhusha</t>
        </is>
      </c>
      <c r="Q3208" t="inlineStr">
        <is>
          <t>Bad</t>
        </is>
      </c>
    </row>
    <row r="3209">
      <c r="A3209" t="inlineStr">
        <is>
          <t>lakhan.b</t>
        </is>
      </c>
      <c r="B3209" t="inlineStr">
        <is>
          <t>Lakhan Badure</t>
        </is>
      </c>
      <c r="C3209" t="inlineStr">
        <is>
          <t>lakhan.b@osmosys.co</t>
        </is>
      </c>
      <c r="D3209" t="inlineStr">
        <is>
          <t>incident-reporter</t>
        </is>
      </c>
      <c r="E3209">
        <f>HYPERLINK("http://gitlab.osmosys.co/incident-reporter/incident-reporter-api", "OQSHA-API")</f>
        <v/>
      </c>
      <c r="F3209">
        <f>HYPERLINK("http://gitlab.osmosys.co/incident-reporter/incident-reporter-api/-/merge_requests/4079", "feat: add new property in ptw preference to fetch allow cloning max days")</f>
        <v/>
      </c>
      <c r="G3209" t="inlineStr">
        <is>
          <t>feat/ptw-preference-new-property</t>
        </is>
      </c>
      <c r="H3209" t="inlineStr">
        <is>
          <t>sprint-17</t>
        </is>
      </c>
      <c r="I3209" t="inlineStr">
        <is>
          <t>merged</t>
        </is>
      </c>
      <c r="J3209" t="inlineStr">
        <is>
          <t>c7ddb400c106cad9d37c7634ae45f7fa39541606</t>
        </is>
      </c>
      <c r="K3209">
        <f>HYPERLINK("http://gitlab.osmosys.co/incident-reporter/incident-reporter-api/-/merge_requests/4079#note_233398", "Removed migration business logic")</f>
        <v/>
      </c>
      <c r="L3209" t="inlineStr">
        <is>
          <t>2025-07-09 10:58:42.356 IST</t>
        </is>
      </c>
      <c r="M3209" t="inlineStr">
        <is>
          <t>Lakhan Badure</t>
        </is>
      </c>
      <c r="N3209" t="inlineStr">
        <is>
          <t>No</t>
        </is>
      </c>
      <c r="O3209" t="inlineStr">
        <is>
          <t>Yes</t>
        </is>
      </c>
      <c r="P3209" t="inlineStr">
        <is>
          <t>Sindhusha</t>
        </is>
      </c>
      <c r="Q3209" t="inlineStr">
        <is>
          <t>Bad</t>
        </is>
      </c>
    </row>
    <row r="3210">
      <c r="A3210" t="inlineStr">
        <is>
          <t>lakhan.b</t>
        </is>
      </c>
      <c r="B3210" t="inlineStr">
        <is>
          <t>Lakhan Badure</t>
        </is>
      </c>
      <c r="C3210" t="inlineStr">
        <is>
          <t>lakhan.b@osmosys.co</t>
        </is>
      </c>
      <c r="D3210" t="inlineStr">
        <is>
          <t>incident-reporter</t>
        </is>
      </c>
      <c r="E3210">
        <f>HYPERLINK("http://gitlab.osmosys.co/incident-reporter/incident-reporter-api", "OQSHA-API")</f>
        <v/>
      </c>
      <c r="F3210">
        <f>HYPERLINK("http://gitlab.osmosys.co/incident-reporter/incident-reporter-api/-/merge_requests/4076", "Draft: feat: add feature to export medical list data to csv")</f>
        <v/>
      </c>
      <c r="G3210" t="inlineStr">
        <is>
          <t>feat/export-csv-medical-record</t>
        </is>
      </c>
      <c r="H3210" t="inlineStr">
        <is>
          <t>feat/employee-medical-details-api</t>
        </is>
      </c>
      <c r="I3210" t="inlineStr">
        <is>
          <t>opened</t>
        </is>
      </c>
      <c r="J3210" t="inlineStr"/>
      <c r="K3210" t="inlineStr"/>
      <c r="L3210" t="inlineStr"/>
      <c r="M3210" t="inlineStr"/>
      <c r="N3210" t="inlineStr"/>
      <c r="O3210" t="inlineStr"/>
      <c r="P3210" t="inlineStr"/>
      <c r="Q3210" t="inlineStr"/>
    </row>
    <row r="3211">
      <c r="A3211" t="inlineStr">
        <is>
          <t>lakhan.b</t>
        </is>
      </c>
      <c r="B3211" t="inlineStr">
        <is>
          <t>Lakhan Badure</t>
        </is>
      </c>
      <c r="C3211" t="inlineStr">
        <is>
          <t>lakhan.b@osmosys.co</t>
        </is>
      </c>
      <c r="D3211" t="inlineStr">
        <is>
          <t>incident-reporter</t>
        </is>
      </c>
      <c r="E3211">
        <f>HYPERLINK("http://gitlab.osmosys.co/incident-reporter/incident-reporter-api", "OQSHA-API")</f>
        <v/>
      </c>
      <c r="F3211">
        <f>HYPERLINK("http://gitlab.osmosys.co/incident-reporter/incident-reporter-api/-/merge_requests/4064", "feat: add integration of osmoense device with asset &amp; usage maintenance")</f>
        <v/>
      </c>
      <c r="G3211" t="inlineStr">
        <is>
          <t>feat/osmosense-asset-usage-limit</t>
        </is>
      </c>
      <c r="H3211" t="inlineStr">
        <is>
          <t>sprint-17</t>
        </is>
      </c>
      <c r="I3211" t="inlineStr">
        <is>
          <t>opened</t>
        </is>
      </c>
      <c r="J3211" t="inlineStr"/>
      <c r="K3211" t="inlineStr"/>
      <c r="L3211" t="inlineStr"/>
      <c r="M3211" t="inlineStr"/>
      <c r="N3211" t="inlineStr"/>
      <c r="O3211" t="inlineStr"/>
      <c r="P3211" t="inlineStr"/>
      <c r="Q3211" t="inlineStr"/>
    </row>
    <row r="3212">
      <c r="A3212" t="inlineStr">
        <is>
          <t>lakhan.b</t>
        </is>
      </c>
      <c r="B3212" t="inlineStr">
        <is>
          <t>Lakhan Badure</t>
        </is>
      </c>
      <c r="C3212" t="inlineStr">
        <is>
          <t>lakhan.b@osmosys.co</t>
        </is>
      </c>
      <c r="D3212" t="inlineStr">
        <is>
          <t>incident-reporter</t>
        </is>
      </c>
      <c r="E3212">
        <f>HYPERLINK("http://gitlab.osmosys.co/incident-reporter/incident-reporter-api", "OQSHA-API")</f>
        <v/>
      </c>
      <c r="F3212">
        <f>HYPERLINK("http://gitlab.osmosys.co/incident-reporter/incident-reporter-api/-/merge_requests/4048", "feat: add employee medical UID format in page flag")</f>
        <v/>
      </c>
      <c r="G3212" t="inlineStr">
        <is>
          <t>feat/Uid-migration-employee-medical</t>
        </is>
      </c>
      <c r="H3212" t="inlineStr">
        <is>
          <t>sprint-17</t>
        </is>
      </c>
      <c r="I3212" t="inlineStr">
        <is>
          <t>opened</t>
        </is>
      </c>
      <c r="J3212" t="inlineStr"/>
      <c r="K3212" t="inlineStr"/>
      <c r="L3212" t="inlineStr"/>
      <c r="M3212" t="inlineStr"/>
      <c r="N3212" t="inlineStr"/>
      <c r="O3212" t="inlineStr"/>
      <c r="P3212" t="inlineStr"/>
      <c r="Q3212" t="inlineStr"/>
    </row>
    <row r="3213">
      <c r="A3213" t="inlineStr">
        <is>
          <t>lakhan.b</t>
        </is>
      </c>
      <c r="B3213" t="inlineStr">
        <is>
          <t>Lakhan Badure</t>
        </is>
      </c>
      <c r="C3213" t="inlineStr">
        <is>
          <t>lakhan.b@osmosys.co</t>
        </is>
      </c>
      <c r="D3213" t="inlineStr">
        <is>
          <t>incident-reporter</t>
        </is>
      </c>
      <c r="E3213">
        <f>HYPERLINK("http://gitlab.osmosys.co/incident-reporter/incident-reporter-api", "OQSHA-API")</f>
        <v/>
      </c>
      <c r="F3213">
        <f>HYPERLINK("http://gitlab.osmosys.co/incident-reporter/incident-reporter-api/-/merge_requests/4040", "feat: add the constant to generate org's module UID formula")</f>
        <v/>
      </c>
      <c r="G3213" t="inlineStr">
        <is>
          <t>feat/add-page-flag</t>
        </is>
      </c>
      <c r="H3213" t="inlineStr">
        <is>
          <t>sprint-17</t>
        </is>
      </c>
      <c r="I3213" t="inlineStr">
        <is>
          <t>merged</t>
        </is>
      </c>
      <c r="J3213" t="inlineStr">
        <is>
          <t>eef385e752bf77e31beb6d750f9ef2c0f07bf563</t>
        </is>
      </c>
      <c r="K3213">
        <f>HYPERLINK("http://gitlab.osmosys.co/incident-reporter/incident-reporter-api/-/merge_requests/4040#note_232153", "@lakhan.b  - we have Tasks also added, refer here - https://pinestem.com/dashboard.html#/tasks/quick/INRT-3858/details/?companyId=453&amp;isPrevNext=1")</f>
        <v/>
      </c>
      <c r="L3213" t="inlineStr">
        <is>
          <t>2025-07-04 16:16:13.836 IST</t>
        </is>
      </c>
      <c r="M3213" t="inlineStr">
        <is>
          <t>Sindhusha</t>
        </is>
      </c>
      <c r="N3213" t="inlineStr">
        <is>
          <t>Yes</t>
        </is>
      </c>
      <c r="O3213" t="inlineStr">
        <is>
          <t>Yes</t>
        </is>
      </c>
      <c r="P3213" t="inlineStr">
        <is>
          <t>Sindhusha</t>
        </is>
      </c>
      <c r="Q3213" t="inlineStr">
        <is>
          <t>Good</t>
        </is>
      </c>
    </row>
    <row r="3214">
      <c r="A3214" t="inlineStr">
        <is>
          <t>lakhan.b</t>
        </is>
      </c>
      <c r="B3214" t="inlineStr">
        <is>
          <t>Lakhan Badure</t>
        </is>
      </c>
      <c r="C3214" t="inlineStr">
        <is>
          <t>lakhan.b@osmosys.co</t>
        </is>
      </c>
      <c r="D3214" t="inlineStr">
        <is>
          <t>incident-reporter</t>
        </is>
      </c>
      <c r="E3214">
        <f>HYPERLINK("http://gitlab.osmosys.co/incident-reporter/incident-reporter-api", "OQSHA-API")</f>
        <v/>
      </c>
      <c r="F3214">
        <f>HYPERLINK("http://gitlab.osmosys.co/incident-reporter/incident-reporter-api/-/merge_requests/4040", "feat: add the constant to generate org's module UID formula")</f>
        <v/>
      </c>
      <c r="G3214" t="inlineStr">
        <is>
          <t>feat/add-page-flag</t>
        </is>
      </c>
      <c r="H3214" t="inlineStr">
        <is>
          <t>sprint-17</t>
        </is>
      </c>
      <c r="I3214" t="inlineStr">
        <is>
          <t>merged</t>
        </is>
      </c>
      <c r="J3214" t="inlineStr">
        <is>
          <t>eef385e752bf77e31beb6d750f9ef2c0f07bf563</t>
        </is>
      </c>
      <c r="K3214">
        <f>HYPERLINK("http://gitlab.osmosys.co/incident-reporter/incident-reporter-api/-/merge_requests/4040#note_234021", "Added changes as per reference task")</f>
        <v/>
      </c>
      <c r="L3214" t="inlineStr">
        <is>
          <t>2025-07-10 11:56:45.297 IST</t>
        </is>
      </c>
      <c r="M3214" t="inlineStr">
        <is>
          <t>Lakhan Badure</t>
        </is>
      </c>
      <c r="N3214" t="inlineStr">
        <is>
          <t>No</t>
        </is>
      </c>
      <c r="O3214" t="inlineStr">
        <is>
          <t>Yes</t>
        </is>
      </c>
      <c r="P3214" t="inlineStr">
        <is>
          <t>Sindhusha</t>
        </is>
      </c>
      <c r="Q3214" t="inlineStr">
        <is>
          <t>Good</t>
        </is>
      </c>
    </row>
    <row r="3215">
      <c r="A3215" t="inlineStr">
        <is>
          <t>lakhan.b</t>
        </is>
      </c>
      <c r="B3215" t="inlineStr">
        <is>
          <t>Lakhan Badure</t>
        </is>
      </c>
      <c r="C3215" t="inlineStr">
        <is>
          <t>lakhan.b@osmosys.co</t>
        </is>
      </c>
      <c r="D3215" t="inlineStr">
        <is>
          <t>incident-reporter</t>
        </is>
      </c>
      <c r="E3215">
        <f>HYPERLINK("http://gitlab.osmosys.co/incident-reporter/incident-reporter-api", "OQSHA-API")</f>
        <v/>
      </c>
      <c r="F3215">
        <f>HYPERLINK("http://gitlab.osmosys.co/incident-reporter/incident-reporter-api/-/merge_requests/4040", "feat: add the constant to generate org's module UID formula")</f>
        <v/>
      </c>
      <c r="G3215" t="inlineStr">
        <is>
          <t>feat/add-page-flag</t>
        </is>
      </c>
      <c r="H3215" t="inlineStr">
        <is>
          <t>sprint-17</t>
        </is>
      </c>
      <c r="I3215" t="inlineStr">
        <is>
          <t>merged</t>
        </is>
      </c>
      <c r="J3215" t="inlineStr">
        <is>
          <t>36c8b483346f62b4d7f22f4fa4706cce837d629d</t>
        </is>
      </c>
      <c r="K3215">
        <f>HYPERLINK("http://gitlab.osmosys.co/incident-reporter/incident-reporter-api/-/merge_requests/4040#note_234274", "What is the meaning of "mainModules" when there is no filtering of app modules from here?")</f>
        <v/>
      </c>
      <c r="L3215" t="inlineStr">
        <is>
          <t>2025-07-10 17:59:12.471 IST</t>
        </is>
      </c>
      <c r="M3215" t="inlineStr">
        <is>
          <t>Sameer Shaik</t>
        </is>
      </c>
      <c r="N3215" t="inlineStr">
        <is>
          <t>Yes</t>
        </is>
      </c>
      <c r="O3215" t="inlineStr">
        <is>
          <t>Yes</t>
        </is>
      </c>
      <c r="P3215" t="inlineStr">
        <is>
          <t>Sindhusha</t>
        </is>
      </c>
      <c r="Q3215" t="inlineStr">
        <is>
          <t>Neutral</t>
        </is>
      </c>
    </row>
    <row r="3216">
      <c r="A3216" t="inlineStr">
        <is>
          <t>lakhan.b</t>
        </is>
      </c>
      <c r="B3216" t="inlineStr">
        <is>
          <t>Lakhan Badure</t>
        </is>
      </c>
      <c r="C3216" t="inlineStr">
        <is>
          <t>lakhan.b@osmosys.co</t>
        </is>
      </c>
      <c r="D3216" t="inlineStr">
        <is>
          <t>incident-reporter</t>
        </is>
      </c>
      <c r="E3216">
        <f>HYPERLINK("http://gitlab.osmosys.co/incident-reporter/incident-reporter-api", "OQSHA-API")</f>
        <v/>
      </c>
      <c r="F3216">
        <f>HYPERLINK("http://gitlab.osmosys.co/incident-reporter/incident-reporter-api/-/merge_requests/4040", "feat: add the constant to generate org's module UID formula")</f>
        <v/>
      </c>
      <c r="G3216" t="inlineStr">
        <is>
          <t>feat/add-page-flag</t>
        </is>
      </c>
      <c r="H3216" t="inlineStr">
        <is>
          <t>sprint-17</t>
        </is>
      </c>
      <c r="I3216" t="inlineStr">
        <is>
          <t>merged</t>
        </is>
      </c>
      <c r="J3216" t="inlineStr">
        <is>
          <t>36c8b483346f62b4d7f22f4fa4706cce837d629d</t>
        </is>
      </c>
      <c r="K3216">
        <f>HYPERLINK("http://gitlab.osmosys.co/incident-reporter/incident-reporter-api/-/merge_requests/4040#note_234610", "Modules variable is storing main modules - filters is not required a dictionary would work for us as modules holds other property")</f>
        <v/>
      </c>
      <c r="L3216" t="inlineStr">
        <is>
          <t>2025-07-10 23:28:03.072 IST</t>
        </is>
      </c>
      <c r="M3216" t="inlineStr">
        <is>
          <t>Lakhan Badure</t>
        </is>
      </c>
      <c r="N3216" t="inlineStr">
        <is>
          <t>No</t>
        </is>
      </c>
      <c r="O3216" t="inlineStr">
        <is>
          <t>Yes</t>
        </is>
      </c>
      <c r="P3216" t="inlineStr">
        <is>
          <t>Sindhusha</t>
        </is>
      </c>
      <c r="Q3216" t="inlineStr">
        <is>
          <t>Neutral</t>
        </is>
      </c>
    </row>
    <row r="3217">
      <c r="A3217" t="inlineStr">
        <is>
          <t>lakhan.b</t>
        </is>
      </c>
      <c r="B3217" t="inlineStr">
        <is>
          <t>Lakhan Badure</t>
        </is>
      </c>
      <c r="C3217" t="inlineStr">
        <is>
          <t>lakhan.b@osmosys.co</t>
        </is>
      </c>
      <c r="D3217" t="inlineStr">
        <is>
          <t>incident-reporter</t>
        </is>
      </c>
      <c r="E3217">
        <f>HYPERLINK("http://gitlab.osmosys.co/incident-reporter/incident-reporter-api", "OQSHA-API")</f>
        <v/>
      </c>
      <c r="F3217">
        <f>HYPERLINK("http://gitlab.osmosys.co/incident-reporter/incident-reporter-api/-/merge_requests/4040", "feat: add the constant to generate org's module UID formula")</f>
        <v/>
      </c>
      <c r="G3217" t="inlineStr">
        <is>
          <t>feat/add-page-flag</t>
        </is>
      </c>
      <c r="H3217" t="inlineStr">
        <is>
          <t>sprint-17</t>
        </is>
      </c>
      <c r="I3217" t="inlineStr">
        <is>
          <t>merged</t>
        </is>
      </c>
      <c r="J3217" t="inlineStr">
        <is>
          <t>bcf1cd053bb9a0bca36b4d97075e2cabf00e2895</t>
        </is>
      </c>
      <c r="K3217">
        <f>HYPERLINK("http://gitlab.osmosys.co/incident-reporter/incident-reporter-api/-/merge_requests/4040#note_234275", "The mainModuleIds is getting all module main + app. This needs correction. If we are getting only main modules then this parameter is not required.")</f>
        <v/>
      </c>
      <c r="L3217" t="inlineStr">
        <is>
          <t>2025-07-10 17:59:12.543 IST</t>
        </is>
      </c>
      <c r="M3217" t="inlineStr">
        <is>
          <t>Sameer Shaik</t>
        </is>
      </c>
      <c r="N3217" t="inlineStr">
        <is>
          <t>Yes</t>
        </is>
      </c>
      <c r="O3217" t="inlineStr">
        <is>
          <t>Yes</t>
        </is>
      </c>
      <c r="P3217" t="inlineStr">
        <is>
          <t>Sindhusha</t>
        </is>
      </c>
      <c r="Q3217" t="inlineStr">
        <is>
          <t>Bad</t>
        </is>
      </c>
    </row>
    <row r="3218">
      <c r="A3218" t="inlineStr">
        <is>
          <t>lakhan.b</t>
        </is>
      </c>
      <c r="B3218" t="inlineStr">
        <is>
          <t>Lakhan Badure</t>
        </is>
      </c>
      <c r="C3218" t="inlineStr">
        <is>
          <t>lakhan.b@osmosys.co</t>
        </is>
      </c>
      <c r="D3218" t="inlineStr">
        <is>
          <t>incident-reporter</t>
        </is>
      </c>
      <c r="E3218">
        <f>HYPERLINK("http://gitlab.osmosys.co/incident-reporter/incident-reporter-api", "OQSHA-API")</f>
        <v/>
      </c>
      <c r="F3218">
        <f>HYPERLINK("http://gitlab.osmosys.co/incident-reporter/incident-reporter-api/-/merge_requests/4040", "feat: add the constant to generate org's module UID formula")</f>
        <v/>
      </c>
      <c r="G3218" t="inlineStr">
        <is>
          <t>feat/add-page-flag</t>
        </is>
      </c>
      <c r="H3218" t="inlineStr">
        <is>
          <t>sprint-17</t>
        </is>
      </c>
      <c r="I3218" t="inlineStr">
        <is>
          <t>merged</t>
        </is>
      </c>
      <c r="J3218" t="inlineStr">
        <is>
          <t>bcf1cd053bb9a0bca36b4d97075e2cabf00e2895</t>
        </is>
      </c>
      <c r="K3218">
        <f>HYPERLINK("http://gitlab.osmosys.co/incident-reporter/incident-reporter-api/-/merge_requests/4040#note_234611", "Removed modules(app+main) param as its redundant code -main modules is suffice")</f>
        <v/>
      </c>
      <c r="L3218" t="inlineStr">
        <is>
          <t>2025-07-10 23:29:11.335 IST</t>
        </is>
      </c>
      <c r="M3218" t="inlineStr">
        <is>
          <t>Lakhan Badure</t>
        </is>
      </c>
      <c r="N3218" t="inlineStr">
        <is>
          <t>No</t>
        </is>
      </c>
      <c r="O3218" t="inlineStr">
        <is>
          <t>Yes</t>
        </is>
      </c>
      <c r="P3218" t="inlineStr">
        <is>
          <t>Sindhusha</t>
        </is>
      </c>
      <c r="Q3218" t="inlineStr">
        <is>
          <t>Bad</t>
        </is>
      </c>
    </row>
    <row r="3219">
      <c r="A3219" t="inlineStr">
        <is>
          <t>lakhan.b</t>
        </is>
      </c>
      <c r="B3219" t="inlineStr">
        <is>
          <t>Lakhan Badure</t>
        </is>
      </c>
      <c r="C3219" t="inlineStr">
        <is>
          <t>lakhan.b@osmosys.co</t>
        </is>
      </c>
      <c r="D3219" t="inlineStr">
        <is>
          <t>incident-reporter</t>
        </is>
      </c>
      <c r="E3219">
        <f>HYPERLINK("http://gitlab.osmosys.co/incident-reporter/incident-reporter-api", "OQSHA-API")</f>
        <v/>
      </c>
      <c r="F3219">
        <f>HYPERLINK("http://gitlab.osmosys.co/incident-reporter/incident-reporter-api/-/merge_requests/4040", "feat: add the constant to generate org's module UID formula")</f>
        <v/>
      </c>
      <c r="G3219" t="inlineStr">
        <is>
          <t>feat/add-page-flag</t>
        </is>
      </c>
      <c r="H3219" t="inlineStr">
        <is>
          <t>sprint-17</t>
        </is>
      </c>
      <c r="I3219" t="inlineStr">
        <is>
          <t>merged</t>
        </is>
      </c>
      <c r="J3219" t="inlineStr">
        <is>
          <t>01c7e47591f3bba08e93862f6252066d7eaa9947</t>
        </is>
      </c>
      <c r="K3219">
        <f>HYPERLINK("http://gitlab.osmosys.co/incident-reporter/incident-reporter-api/-/merge_requests/4040#note_234276", "Rename this to OrganistaionUidPageFlagConstants")</f>
        <v/>
      </c>
      <c r="L3219" t="inlineStr">
        <is>
          <t>2025-07-10 17:59:12.636 IST</t>
        </is>
      </c>
      <c r="M3219" t="inlineStr">
        <is>
          <t>Sameer Shaik</t>
        </is>
      </c>
      <c r="N3219" t="inlineStr">
        <is>
          <t>Yes</t>
        </is>
      </c>
      <c r="O3219" t="inlineStr">
        <is>
          <t>Yes</t>
        </is>
      </c>
      <c r="P3219" t="inlineStr">
        <is>
          <t>Sindhusha</t>
        </is>
      </c>
      <c r="Q3219" t="inlineStr">
        <is>
          <t>Bad</t>
        </is>
      </c>
    </row>
    <row r="3220">
      <c r="A3220" t="inlineStr">
        <is>
          <t>lakhan.b</t>
        </is>
      </c>
      <c r="B3220" t="inlineStr">
        <is>
          <t>Lakhan Badure</t>
        </is>
      </c>
      <c r="C3220" t="inlineStr">
        <is>
          <t>lakhan.b@osmosys.co</t>
        </is>
      </c>
      <c r="D3220" t="inlineStr">
        <is>
          <t>incident-reporter</t>
        </is>
      </c>
      <c r="E3220">
        <f>HYPERLINK("http://gitlab.osmosys.co/incident-reporter/incident-reporter-api", "OQSHA-API")</f>
        <v/>
      </c>
      <c r="F3220">
        <f>HYPERLINK("http://gitlab.osmosys.co/incident-reporter/incident-reporter-api/-/merge_requests/4040", "feat: add the constant to generate org's module UID formula")</f>
        <v/>
      </c>
      <c r="G3220" t="inlineStr">
        <is>
          <t>feat/add-page-flag</t>
        </is>
      </c>
      <c r="H3220" t="inlineStr">
        <is>
          <t>sprint-17</t>
        </is>
      </c>
      <c r="I3220" t="inlineStr">
        <is>
          <t>merged</t>
        </is>
      </c>
      <c r="J3220" t="inlineStr">
        <is>
          <t>01c7e47591f3bba08e93862f6252066d7eaa9947</t>
        </is>
      </c>
      <c r="K3220">
        <f>HYPERLINK("http://gitlab.osmosys.co/incident-reporter/incident-reporter-api/-/merge_requests/4040#note_234653", "Added Org prefix")</f>
        <v/>
      </c>
      <c r="L3220" t="inlineStr">
        <is>
          <t>2025-07-10 23:47:14.657 IST</t>
        </is>
      </c>
      <c r="M3220" t="inlineStr">
        <is>
          <t>Lakhan Badure</t>
        </is>
      </c>
      <c r="N3220" t="inlineStr">
        <is>
          <t>No</t>
        </is>
      </c>
      <c r="O3220" t="inlineStr">
        <is>
          <t>Yes</t>
        </is>
      </c>
      <c r="P3220" t="inlineStr">
        <is>
          <t>Sindhusha</t>
        </is>
      </c>
      <c r="Q3220" t="inlineStr">
        <is>
          <t>Bad</t>
        </is>
      </c>
    </row>
    <row r="3221">
      <c r="A3221" t="inlineStr">
        <is>
          <t>lakhan.b</t>
        </is>
      </c>
      <c r="B3221" t="inlineStr">
        <is>
          <t>Lakhan Badure</t>
        </is>
      </c>
      <c r="C3221" t="inlineStr">
        <is>
          <t>lakhan.b@osmosys.co</t>
        </is>
      </c>
      <c r="D3221" t="inlineStr">
        <is>
          <t>incident-reporter</t>
        </is>
      </c>
      <c r="E3221">
        <f>HYPERLINK("http://gitlab.osmosys.co/incident-reporter/incident-reporter-api", "OQSHA-API")</f>
        <v/>
      </c>
      <c r="F3221">
        <f>HYPERLINK("http://gitlab.osmosys.co/incident-reporter/incident-reporter-api/-/merge_requests/4040", "feat: add the constant to generate org's module UID formula")</f>
        <v/>
      </c>
      <c r="G3221" t="inlineStr">
        <is>
          <t>feat/add-page-flag</t>
        </is>
      </c>
      <c r="H3221" t="inlineStr">
        <is>
          <t>sprint-17</t>
        </is>
      </c>
      <c r="I3221" t="inlineStr">
        <is>
          <t>merged</t>
        </is>
      </c>
      <c r="J3221" t="inlineStr">
        <is>
          <t>75fd3dbbcb0eb8f52a68817fde997ccf8cebaf8e</t>
        </is>
      </c>
      <c r="K3221">
        <f>HYPERLINK("http://gitlab.osmosys.co/incident-reporter/incident-reporter-api/-/merge_requests/4040#note_234277", "Formatting issues here. Indentation should be 4 spaces.")</f>
        <v/>
      </c>
      <c r="L3221" t="inlineStr">
        <is>
          <t>2025-07-10 17:59:12.692 IST</t>
        </is>
      </c>
      <c r="M3221" t="inlineStr">
        <is>
          <t>Sameer Shaik</t>
        </is>
      </c>
      <c r="N3221" t="inlineStr">
        <is>
          <t>Yes</t>
        </is>
      </c>
      <c r="O3221" t="inlineStr">
        <is>
          <t>Yes</t>
        </is>
      </c>
      <c r="P3221" t="inlineStr">
        <is>
          <t>Sindhusha</t>
        </is>
      </c>
      <c r="Q3221" t="inlineStr">
        <is>
          <t>Bad</t>
        </is>
      </c>
    </row>
    <row r="3222">
      <c r="A3222" t="inlineStr">
        <is>
          <t>lakhan.b</t>
        </is>
      </c>
      <c r="B3222" t="inlineStr">
        <is>
          <t>Lakhan Badure</t>
        </is>
      </c>
      <c r="C3222" t="inlineStr">
        <is>
          <t>lakhan.b@osmosys.co</t>
        </is>
      </c>
      <c r="D3222" t="inlineStr">
        <is>
          <t>incident-reporter</t>
        </is>
      </c>
      <c r="E3222">
        <f>HYPERLINK("http://gitlab.osmosys.co/incident-reporter/incident-reporter-api", "OQSHA-API")</f>
        <v/>
      </c>
      <c r="F3222">
        <f>HYPERLINK("http://gitlab.osmosys.co/incident-reporter/incident-reporter-api/-/merge_requests/4040", "feat: add the constant to generate org's module UID formula")</f>
        <v/>
      </c>
      <c r="G3222" t="inlineStr">
        <is>
          <t>feat/add-page-flag</t>
        </is>
      </c>
      <c r="H3222" t="inlineStr">
        <is>
          <t>sprint-17</t>
        </is>
      </c>
      <c r="I3222" t="inlineStr">
        <is>
          <t>merged</t>
        </is>
      </c>
      <c r="J3222" t="inlineStr">
        <is>
          <t>75fd3dbbcb0eb8f52a68817fde997ccf8cebaf8e</t>
        </is>
      </c>
      <c r="K3222">
        <f>HYPERLINK("http://gitlab.osmosys.co/incident-reporter/incident-reporter-api/-/merge_requests/4040#note_234655", "Fixed formatting its looking different in git 
Local 
![image](/uploads/a1f93f061b237f4a45494a60b8dc77e6/image.png)")</f>
        <v/>
      </c>
      <c r="L3222" t="inlineStr">
        <is>
          <t>2025-07-10 23:47:59.705 IST</t>
        </is>
      </c>
      <c r="M3222" t="inlineStr">
        <is>
          <t>Lakhan Badure</t>
        </is>
      </c>
      <c r="N3222" t="inlineStr">
        <is>
          <t>No</t>
        </is>
      </c>
      <c r="O3222" t="inlineStr">
        <is>
          <t>Yes</t>
        </is>
      </c>
      <c r="P3222" t="inlineStr">
        <is>
          <t>Sindhusha</t>
        </is>
      </c>
      <c r="Q3222" t="inlineStr">
        <is>
          <t>Bad</t>
        </is>
      </c>
    </row>
    <row r="3223">
      <c r="A3223" t="inlineStr">
        <is>
          <t>lakhan.b</t>
        </is>
      </c>
      <c r="B3223" t="inlineStr">
        <is>
          <t>Lakhan Badure</t>
        </is>
      </c>
      <c r="C3223" t="inlineStr">
        <is>
          <t>lakhan.b@osmosys.co</t>
        </is>
      </c>
      <c r="D3223" t="inlineStr">
        <is>
          <t>incident-reporter</t>
        </is>
      </c>
      <c r="E3223">
        <f>HYPERLINK("http://gitlab.osmosys.co/incident-reporter/incident-reporter-api", "OQSHA-API")</f>
        <v/>
      </c>
      <c r="F3223">
        <f>HYPERLINK("http://gitlab.osmosys.co/incident-reporter/incident-reporter-api/-/merge_requests/4040", "feat: add the constant to generate org's module UID formula")</f>
        <v/>
      </c>
      <c r="G3223" t="inlineStr">
        <is>
          <t>feat/add-page-flag</t>
        </is>
      </c>
      <c r="H3223" t="inlineStr">
        <is>
          <t>sprint-17</t>
        </is>
      </c>
      <c r="I3223" t="inlineStr">
        <is>
          <t>merged</t>
        </is>
      </c>
      <c r="J3223" t="inlineStr">
        <is>
          <t>47f005720fdb369be2ea47262154c6308b15d6d9</t>
        </is>
      </c>
      <c r="K3223">
        <f>HYPERLINK("http://gitlab.osmosys.co/incident-reporter/incident-reporter-api/-/merge_requests/4040#note_234278", "Add a clear comment to explain this datatype. This looks complex to understand.")</f>
        <v/>
      </c>
      <c r="L3223" t="inlineStr">
        <is>
          <t>2025-07-10 17:59:12.752 IST</t>
        </is>
      </c>
      <c r="M3223" t="inlineStr">
        <is>
          <t>Sameer Shaik</t>
        </is>
      </c>
      <c r="N3223" t="inlineStr">
        <is>
          <t>Yes</t>
        </is>
      </c>
      <c r="O3223" t="inlineStr">
        <is>
          <t>Yes</t>
        </is>
      </c>
      <c r="P3223" t="inlineStr">
        <is>
          <t>Sindhusha</t>
        </is>
      </c>
      <c r="Q3223" t="inlineStr">
        <is>
          <t>Bad</t>
        </is>
      </c>
    </row>
    <row r="3224">
      <c r="A3224" t="inlineStr">
        <is>
          <t>lakhan.b</t>
        </is>
      </c>
      <c r="B3224" t="inlineStr">
        <is>
          <t>Lakhan Badure</t>
        </is>
      </c>
      <c r="C3224" t="inlineStr">
        <is>
          <t>lakhan.b@osmosys.co</t>
        </is>
      </c>
      <c r="D3224" t="inlineStr">
        <is>
          <t>incident-reporter</t>
        </is>
      </c>
      <c r="E3224">
        <f>HYPERLINK("http://gitlab.osmosys.co/incident-reporter/incident-reporter-api", "OQSHA-API")</f>
        <v/>
      </c>
      <c r="F3224">
        <f>HYPERLINK("http://gitlab.osmosys.co/incident-reporter/incident-reporter-api/-/merge_requests/4040", "feat: add the constant to generate org's module UID formula")</f>
        <v/>
      </c>
      <c r="G3224" t="inlineStr">
        <is>
          <t>feat/add-page-flag</t>
        </is>
      </c>
      <c r="H3224" t="inlineStr">
        <is>
          <t>sprint-17</t>
        </is>
      </c>
      <c r="I3224" t="inlineStr">
        <is>
          <t>merged</t>
        </is>
      </c>
      <c r="J3224" t="inlineStr">
        <is>
          <t>47f005720fdb369be2ea47262154c6308b15d6d9</t>
        </is>
      </c>
      <c r="K3224">
        <f>HYPERLINK("http://gitlab.osmosys.co/incident-reporter/incident-reporter-api/-/merge_requests/4040#note_234656", "Added detailed comment")</f>
        <v/>
      </c>
      <c r="L3224" t="inlineStr">
        <is>
          <t>2025-07-10 23:48:43.990 IST</t>
        </is>
      </c>
      <c r="M3224" t="inlineStr">
        <is>
          <t>Lakhan Badure</t>
        </is>
      </c>
      <c r="N3224" t="inlineStr">
        <is>
          <t>No</t>
        </is>
      </c>
      <c r="O3224" t="inlineStr">
        <is>
          <t>Yes</t>
        </is>
      </c>
      <c r="P3224" t="inlineStr">
        <is>
          <t>Sindhusha</t>
        </is>
      </c>
      <c r="Q3224" t="inlineStr">
        <is>
          <t>Bad</t>
        </is>
      </c>
    </row>
    <row r="3225">
      <c r="A3225" t="inlineStr">
        <is>
          <t>lakhan.b</t>
        </is>
      </c>
      <c r="B3225" t="inlineStr">
        <is>
          <t>Lakhan Badure</t>
        </is>
      </c>
      <c r="C3225" t="inlineStr">
        <is>
          <t>lakhan.b@osmosys.co</t>
        </is>
      </c>
      <c r="D3225" t="inlineStr">
        <is>
          <t>incident-reporter</t>
        </is>
      </c>
      <c r="E3225">
        <f>HYPERLINK("http://gitlab.osmosys.co/incident-reporter/incident-reporter-api", "OQSHA-API")</f>
        <v/>
      </c>
      <c r="F3225">
        <f>HYPERLINK("http://gitlab.osmosys.co/incident-reporter/incident-reporter-api/-/merge_requests/4040", "feat: add the constant to generate org's module UID formula")</f>
        <v/>
      </c>
      <c r="G3225" t="inlineStr">
        <is>
          <t>feat/add-page-flag</t>
        </is>
      </c>
      <c r="H3225" t="inlineStr">
        <is>
          <t>sprint-17</t>
        </is>
      </c>
      <c r="I3225" t="inlineStr">
        <is>
          <t>merged</t>
        </is>
      </c>
      <c r="J3225" t="inlineStr">
        <is>
          <t>47f005720fdb369be2ea47262154c6308b15d6d9</t>
        </is>
      </c>
      <c r="K3225">
        <f>HYPERLINK("http://gitlab.osmosys.co/incident-reporter/incident-reporter-api/-/merge_requests/4040#note_235021", "Comment is not good enough @lakhan.b, it should explain what it is doing.")</f>
        <v/>
      </c>
      <c r="L3225" t="inlineStr">
        <is>
          <t>2025-07-11 11:37:37.852 IST</t>
        </is>
      </c>
      <c r="M3225" t="inlineStr">
        <is>
          <t>Sindhusha</t>
        </is>
      </c>
      <c r="N3225" t="inlineStr">
        <is>
          <t>Yes</t>
        </is>
      </c>
      <c r="O3225" t="inlineStr">
        <is>
          <t>Yes</t>
        </is>
      </c>
      <c r="P3225" t="inlineStr">
        <is>
          <t>Sindhusha</t>
        </is>
      </c>
      <c r="Q3225" t="inlineStr">
        <is>
          <t>Bad</t>
        </is>
      </c>
    </row>
    <row r="3226">
      <c r="A3226" t="inlineStr">
        <is>
          <t>lakhan.b</t>
        </is>
      </c>
      <c r="B3226" t="inlineStr">
        <is>
          <t>Lakhan Badure</t>
        </is>
      </c>
      <c r="C3226" t="inlineStr">
        <is>
          <t>lakhan.b@osmosys.co</t>
        </is>
      </c>
      <c r="D3226" t="inlineStr">
        <is>
          <t>incident-reporter</t>
        </is>
      </c>
      <c r="E3226">
        <f>HYPERLINK("http://gitlab.osmosys.co/incident-reporter/incident-reporter-api", "OQSHA-API")</f>
        <v/>
      </c>
      <c r="F3226">
        <f>HYPERLINK("http://gitlab.osmosys.co/incident-reporter/incident-reporter-api/-/merge_requests/4040", "feat: add the constant to generate org's module UID formula")</f>
        <v/>
      </c>
      <c r="G3226" t="inlineStr">
        <is>
          <t>feat/add-page-flag</t>
        </is>
      </c>
      <c r="H3226" t="inlineStr">
        <is>
          <t>sprint-17</t>
        </is>
      </c>
      <c r="I3226" t="inlineStr">
        <is>
          <t>merged</t>
        </is>
      </c>
      <c r="J3226" t="inlineStr">
        <is>
          <t>47f005720fdb369be2ea47262154c6308b15d6d9</t>
        </is>
      </c>
      <c r="K3226">
        <f>HYPERLINK("http://gitlab.osmosys.co/incident-reporter/incident-reporter-api/-/merge_requests/4040#note_235148", "Already 2 lines comment is added please navigate to changes 
![image](/uploads/59a5d041595827fa43c83aa902e733de/image.png)")</f>
        <v/>
      </c>
      <c r="L3226" t="inlineStr">
        <is>
          <t>2025-07-11 14:07:41.953 IST</t>
        </is>
      </c>
      <c r="M3226" t="inlineStr">
        <is>
          <t>Lakhan Badure</t>
        </is>
      </c>
      <c r="N3226" t="inlineStr">
        <is>
          <t>No</t>
        </is>
      </c>
      <c r="O3226" t="inlineStr">
        <is>
          <t>Yes</t>
        </is>
      </c>
      <c r="P3226" t="inlineStr">
        <is>
          <t>Sindhusha</t>
        </is>
      </c>
      <c r="Q3226" t="inlineStr">
        <is>
          <t>Bad</t>
        </is>
      </c>
    </row>
    <row r="3227">
      <c r="A3227" t="inlineStr">
        <is>
          <t>lakhan.b</t>
        </is>
      </c>
      <c r="B3227" t="inlineStr">
        <is>
          <t>Lakhan Badure</t>
        </is>
      </c>
      <c r="C3227" t="inlineStr">
        <is>
          <t>lakhan.b@osmosys.co</t>
        </is>
      </c>
      <c r="D3227" t="inlineStr">
        <is>
          <t>incident-reporter</t>
        </is>
      </c>
      <c r="E3227">
        <f>HYPERLINK("http://gitlab.osmosys.co/incident-reporter/incident-reporter-api", "OQSHA-API")</f>
        <v/>
      </c>
      <c r="F3227">
        <f>HYPERLINK("http://gitlab.osmosys.co/incident-reporter/incident-reporter-api/-/merge_requests/4040", "feat: add the constant to generate org's module UID formula")</f>
        <v/>
      </c>
      <c r="G3227" t="inlineStr">
        <is>
          <t>feat/add-page-flag</t>
        </is>
      </c>
      <c r="H3227" t="inlineStr">
        <is>
          <t>sprint-17</t>
        </is>
      </c>
      <c r="I3227" t="inlineStr">
        <is>
          <t>merged</t>
        </is>
      </c>
      <c r="J3227" t="inlineStr">
        <is>
          <t>222ebf412fd7ff2a8caa7b79940ec96404afd9df</t>
        </is>
      </c>
      <c r="K3227">
        <f>HYPERLINK("http://gitlab.osmosys.co/incident-reporter/incident-reporter-api/-/merge_requests/4040#note_235019", "Will this handle the case if we have already formual object added, it SHOULD NOT OVERIDE IT.")</f>
        <v/>
      </c>
      <c r="L3227" t="inlineStr">
        <is>
          <t>2025-07-11 11:36:22.114 IST</t>
        </is>
      </c>
      <c r="M3227" t="inlineStr">
        <is>
          <t>Sindhusha</t>
        </is>
      </c>
      <c r="N3227" t="inlineStr">
        <is>
          <t>Yes</t>
        </is>
      </c>
      <c r="O3227" t="inlineStr">
        <is>
          <t>Yes</t>
        </is>
      </c>
      <c r="P3227" t="inlineStr">
        <is>
          <t>Sindhusha</t>
        </is>
      </c>
      <c r="Q3227" t="inlineStr">
        <is>
          <t>Neutral</t>
        </is>
      </c>
    </row>
    <row r="3228">
      <c r="A3228" t="inlineStr">
        <is>
          <t>lakhan.b</t>
        </is>
      </c>
      <c r="B3228" t="inlineStr">
        <is>
          <t>Lakhan Badure</t>
        </is>
      </c>
      <c r="C3228" t="inlineStr">
        <is>
          <t>lakhan.b@osmosys.co</t>
        </is>
      </c>
      <c r="D3228" t="inlineStr">
        <is>
          <t>incident-reporter</t>
        </is>
      </c>
      <c r="E3228">
        <f>HYPERLINK("http://gitlab.osmosys.co/incident-reporter/incident-reporter-api", "OQSHA-API")</f>
        <v/>
      </c>
      <c r="F3228">
        <f>HYPERLINK("http://gitlab.osmosys.co/incident-reporter/incident-reporter-api/-/merge_requests/4040", "feat: add the constant to generate org's module UID formula")</f>
        <v/>
      </c>
      <c r="G3228" t="inlineStr">
        <is>
          <t>feat/add-page-flag</t>
        </is>
      </c>
      <c r="H3228" t="inlineStr">
        <is>
          <t>sprint-17</t>
        </is>
      </c>
      <c r="I3228" t="inlineStr">
        <is>
          <t>merged</t>
        </is>
      </c>
      <c r="J3228" t="inlineStr">
        <is>
          <t>222ebf412fd7ff2a8caa7b79940ec96404afd9df</t>
        </is>
      </c>
      <c r="K3228">
        <f>HYPERLINK("http://gitlab.osmosys.co/incident-reporter/incident-reporter-api/-/merge_requests/4040#note_235147", "This function is executed on new registration of organization - So we will not require this override")</f>
        <v/>
      </c>
      <c r="L3228" t="inlineStr">
        <is>
          <t>2025-07-11 14:05:01.109 IST</t>
        </is>
      </c>
      <c r="M3228" t="inlineStr">
        <is>
          <t>Lakhan Badure</t>
        </is>
      </c>
      <c r="N3228" t="inlineStr">
        <is>
          <t>No</t>
        </is>
      </c>
      <c r="O3228" t="inlineStr">
        <is>
          <t>Yes</t>
        </is>
      </c>
      <c r="P3228" t="inlineStr">
        <is>
          <t>Sindhusha</t>
        </is>
      </c>
      <c r="Q3228" t="inlineStr">
        <is>
          <t>Neutral</t>
        </is>
      </c>
    </row>
    <row r="3229">
      <c r="A3229" t="inlineStr">
        <is>
          <t>lakhan.b</t>
        </is>
      </c>
      <c r="B3229" t="inlineStr">
        <is>
          <t>Lakhan Badure</t>
        </is>
      </c>
      <c r="C3229" t="inlineStr">
        <is>
          <t>lakhan.b@osmosys.co</t>
        </is>
      </c>
      <c r="D3229" t="inlineStr">
        <is>
          <t>incident-reporter</t>
        </is>
      </c>
      <c r="E3229">
        <f>HYPERLINK("http://gitlab.osmosys.co/incident-reporter/incident-reporter-api", "OQSHA-API")</f>
        <v/>
      </c>
      <c r="F3229">
        <f>HYPERLINK("http://gitlab.osmosys.co/incident-reporter/incident-reporter-api/-/merge_requests/4034", "feat: add new status and due date property in incident module")</f>
        <v/>
      </c>
      <c r="G3229" t="inlineStr">
        <is>
          <t>feat/add-new-status-tickets</t>
        </is>
      </c>
      <c r="H3229" t="inlineStr">
        <is>
          <t>sprint-17</t>
        </is>
      </c>
      <c r="I3229" t="inlineStr">
        <is>
          <t>merged</t>
        </is>
      </c>
      <c r="J3229" t="inlineStr">
        <is>
          <t>a4b90ef018eb8b9d4242b8f0ffb0cc33fca95d5a</t>
        </is>
      </c>
      <c r="K3229">
        <f>HYPERLINK("http://gitlab.osmosys.co/incident-reporter/incident-reporter-api/-/merge_requests/4034#note_231629", "Why status will have due date???")</f>
        <v/>
      </c>
      <c r="L3229" t="inlineStr">
        <is>
          <t>2025-07-03 15:41:41.968 IST</t>
        </is>
      </c>
      <c r="M3229" t="inlineStr">
        <is>
          <t>Sindhusha</t>
        </is>
      </c>
      <c r="N3229" t="inlineStr">
        <is>
          <t>Yes</t>
        </is>
      </c>
      <c r="O3229" t="inlineStr">
        <is>
          <t>Yes</t>
        </is>
      </c>
      <c r="P3229" t="inlineStr">
        <is>
          <t>Sindhusha</t>
        </is>
      </c>
      <c r="Q3229" t="inlineStr">
        <is>
          <t>Good</t>
        </is>
      </c>
    </row>
    <row r="3230">
      <c r="A3230" t="inlineStr">
        <is>
          <t>lakhan.b</t>
        </is>
      </c>
      <c r="B3230" t="inlineStr">
        <is>
          <t>Lakhan Badure</t>
        </is>
      </c>
      <c r="C3230" t="inlineStr">
        <is>
          <t>lakhan.b@osmosys.co</t>
        </is>
      </c>
      <c r="D3230" t="inlineStr">
        <is>
          <t>incident-reporter</t>
        </is>
      </c>
      <c r="E3230">
        <f>HYPERLINK("http://gitlab.osmosys.co/incident-reporter/incident-reporter-api", "OQSHA-API")</f>
        <v/>
      </c>
      <c r="F3230">
        <f>HYPERLINK("http://gitlab.osmosys.co/incident-reporter/incident-reporter-api/-/merge_requests/4034", "feat: add new status and due date property in incident module")</f>
        <v/>
      </c>
      <c r="G3230" t="inlineStr">
        <is>
          <t>feat/add-new-status-tickets</t>
        </is>
      </c>
      <c r="H3230" t="inlineStr">
        <is>
          <t>sprint-17</t>
        </is>
      </c>
      <c r="I3230" t="inlineStr">
        <is>
          <t>merged</t>
        </is>
      </c>
      <c r="J3230" t="inlineStr">
        <is>
          <t>a4b90ef018eb8b9d4242b8f0ffb0cc33fca95d5a</t>
        </is>
      </c>
      <c r="K3230">
        <f>HYPERLINK("http://gitlab.osmosys.co/incident-reporter/incident-reporter-api/-/merge_requests/4034#note_231679", "Fixed the property name &amp; format
![image](/uploads/0554f82e6eb8a9f254782b526b8df778/image.png)")</f>
        <v/>
      </c>
      <c r="L3230" t="inlineStr">
        <is>
          <t>2025-07-03 16:36:12.576 IST</t>
        </is>
      </c>
      <c r="M3230" t="inlineStr">
        <is>
          <t>Lakhan Badure</t>
        </is>
      </c>
      <c r="N3230" t="inlineStr">
        <is>
          <t>No</t>
        </is>
      </c>
      <c r="O3230" t="inlineStr">
        <is>
          <t>Yes</t>
        </is>
      </c>
      <c r="P3230" t="inlineStr">
        <is>
          <t>Sindhusha</t>
        </is>
      </c>
      <c r="Q3230" t="inlineStr">
        <is>
          <t>Good</t>
        </is>
      </c>
    </row>
    <row r="3231">
      <c r="A3231" t="inlineStr">
        <is>
          <t>lakhan.b</t>
        </is>
      </c>
      <c r="B3231" t="inlineStr">
        <is>
          <t>Lakhan Badure</t>
        </is>
      </c>
      <c r="C3231" t="inlineStr">
        <is>
          <t>lakhan.b@osmosys.co</t>
        </is>
      </c>
      <c r="D3231" t="inlineStr">
        <is>
          <t>incident-reporter</t>
        </is>
      </c>
      <c r="E3231">
        <f>HYPERLINK("http://gitlab.osmosys.co/incident-reporter/incident-reporter-api", "OQSHA-API")</f>
        <v/>
      </c>
      <c r="F3231">
        <f>HYPERLINK("http://gitlab.osmosys.co/incident-reporter/incident-reporter-api/-/merge_requests/4034", "feat: add new status and due date property in incident module")</f>
        <v/>
      </c>
      <c r="G3231" t="inlineStr">
        <is>
          <t>feat/add-new-status-tickets</t>
        </is>
      </c>
      <c r="H3231" t="inlineStr">
        <is>
          <t>sprint-17</t>
        </is>
      </c>
      <c r="I3231" t="inlineStr">
        <is>
          <t>merged</t>
        </is>
      </c>
      <c r="J3231" t="inlineStr">
        <is>
          <t>4dfa56e44b2b898fd307a542814aeaa0fa06fc6a</t>
        </is>
      </c>
      <c r="K3231">
        <f>HYPERLINK("http://gitlab.osmosys.co/incident-reporter/incident-reporter-api/-/merge_requests/4034#note_231630", "What is this for?")</f>
        <v/>
      </c>
      <c r="L3231" t="inlineStr">
        <is>
          <t>2025-07-03 15:42:47.600 IST</t>
        </is>
      </c>
      <c r="M3231" t="inlineStr">
        <is>
          <t>Sindhusha</t>
        </is>
      </c>
      <c r="N3231" t="inlineStr">
        <is>
          <t>Yes</t>
        </is>
      </c>
      <c r="O3231" t="inlineStr">
        <is>
          <t>Yes</t>
        </is>
      </c>
      <c r="P3231" t="inlineStr">
        <is>
          <t>Sindhusha</t>
        </is>
      </c>
      <c r="Q3231" t="inlineStr">
        <is>
          <t>Bad</t>
        </is>
      </c>
    </row>
    <row r="3232">
      <c r="A3232" t="inlineStr">
        <is>
          <t>lakhan.b</t>
        </is>
      </c>
      <c r="B3232" t="inlineStr">
        <is>
          <t>Lakhan Badure</t>
        </is>
      </c>
      <c r="C3232" t="inlineStr">
        <is>
          <t>lakhan.b@osmosys.co</t>
        </is>
      </c>
      <c r="D3232" t="inlineStr">
        <is>
          <t>incident-reporter</t>
        </is>
      </c>
      <c r="E3232">
        <f>HYPERLINK("http://gitlab.osmosys.co/incident-reporter/incident-reporter-api", "OQSHA-API")</f>
        <v/>
      </c>
      <c r="F3232">
        <f>HYPERLINK("http://gitlab.osmosys.co/incident-reporter/incident-reporter-api/-/merge_requests/4034", "feat: add new status and due date property in incident module")</f>
        <v/>
      </c>
      <c r="G3232" t="inlineStr">
        <is>
          <t>feat/add-new-status-tickets</t>
        </is>
      </c>
      <c r="H3232" t="inlineStr">
        <is>
          <t>sprint-17</t>
        </is>
      </c>
      <c r="I3232" t="inlineStr">
        <is>
          <t>merged</t>
        </is>
      </c>
      <c r="J3232" t="inlineStr">
        <is>
          <t>4dfa56e44b2b898fd307a542814aeaa0fa06fc6a</t>
        </is>
      </c>
      <c r="K3232">
        <f>HYPERLINK("http://gitlab.osmosys.co/incident-reporter/incident-reporter-api/-/merge_requests/4034#note_231640", "This is default value setting to 7 days which i used for system generated tickets &amp; later user can modify it as per wish")</f>
        <v/>
      </c>
      <c r="L3232" t="inlineStr">
        <is>
          <t>2025-07-03 15:49:43.840 IST</t>
        </is>
      </c>
      <c r="M3232" t="inlineStr">
        <is>
          <t>Lakhan Badure</t>
        </is>
      </c>
      <c r="N3232" t="inlineStr">
        <is>
          <t>No</t>
        </is>
      </c>
      <c r="O3232" t="inlineStr">
        <is>
          <t>Yes</t>
        </is>
      </c>
      <c r="P3232" t="inlineStr">
        <is>
          <t>Sindhusha</t>
        </is>
      </c>
      <c r="Q3232" t="inlineStr">
        <is>
          <t>Bad</t>
        </is>
      </c>
    </row>
    <row r="3233">
      <c r="A3233" t="inlineStr">
        <is>
          <t>lakhan.b</t>
        </is>
      </c>
      <c r="B3233" t="inlineStr">
        <is>
          <t>Lakhan Badure</t>
        </is>
      </c>
      <c r="C3233" t="inlineStr">
        <is>
          <t>lakhan.b@osmosys.co</t>
        </is>
      </c>
      <c r="D3233" t="inlineStr">
        <is>
          <t>incident-reporter</t>
        </is>
      </c>
      <c r="E3233">
        <f>HYPERLINK("http://gitlab.osmosys.co/incident-reporter/incident-reporter-api", "OQSHA-API")</f>
        <v/>
      </c>
      <c r="F3233">
        <f>HYPERLINK("http://gitlab.osmosys.co/incident-reporter/incident-reporter-api/-/merge_requests/4034", "feat: add new status and due date property in incident module")</f>
        <v/>
      </c>
      <c r="G3233" t="inlineStr">
        <is>
          <t>feat/add-new-status-tickets</t>
        </is>
      </c>
      <c r="H3233" t="inlineStr">
        <is>
          <t>sprint-17</t>
        </is>
      </c>
      <c r="I3233" t="inlineStr">
        <is>
          <t>merged</t>
        </is>
      </c>
      <c r="J3233" t="inlineStr">
        <is>
          <t>4dfa56e44b2b898fd307a542814aeaa0fa06fc6a</t>
        </is>
      </c>
      <c r="K3233">
        <f>HYPERLINK("http://gitlab.osmosys.co/incident-reporter/incident-reporter-api/-/merge_requests/4034#note_232160", "why system generated tickets will have due date? Due date is optional")</f>
        <v/>
      </c>
      <c r="L3233" t="inlineStr">
        <is>
          <t>2025-07-04 16:36:12.103 IST</t>
        </is>
      </c>
      <c r="M3233" t="inlineStr">
        <is>
          <t>Sindhusha</t>
        </is>
      </c>
      <c r="N3233" t="inlineStr">
        <is>
          <t>Yes</t>
        </is>
      </c>
      <c r="O3233" t="inlineStr">
        <is>
          <t>Yes</t>
        </is>
      </c>
      <c r="P3233" t="inlineStr">
        <is>
          <t>Sindhusha</t>
        </is>
      </c>
      <c r="Q3233" t="inlineStr">
        <is>
          <t>Bad</t>
        </is>
      </c>
    </row>
    <row r="3234">
      <c r="A3234" t="inlineStr">
        <is>
          <t>lakhan.b</t>
        </is>
      </c>
      <c r="B3234" t="inlineStr">
        <is>
          <t>Lakhan Badure</t>
        </is>
      </c>
      <c r="C3234" t="inlineStr">
        <is>
          <t>lakhan.b@osmosys.co</t>
        </is>
      </c>
      <c r="D3234" t="inlineStr">
        <is>
          <t>incident-reporter</t>
        </is>
      </c>
      <c r="E3234">
        <f>HYPERLINK("http://gitlab.osmosys.co/incident-reporter/incident-reporter-api", "OQSHA-API")</f>
        <v/>
      </c>
      <c r="F3234">
        <f>HYPERLINK("http://gitlab.osmosys.co/incident-reporter/incident-reporter-api/-/merge_requests/4034", "feat: add new status and due date property in incident module")</f>
        <v/>
      </c>
      <c r="G3234" t="inlineStr">
        <is>
          <t>feat/add-new-status-tickets</t>
        </is>
      </c>
      <c r="H3234" t="inlineStr">
        <is>
          <t>sprint-17</t>
        </is>
      </c>
      <c r="I3234" t="inlineStr">
        <is>
          <t>merged</t>
        </is>
      </c>
      <c r="J3234" t="inlineStr">
        <is>
          <t>4dfa56e44b2b898fd307a542814aeaa0fa06fc6a</t>
        </is>
      </c>
      <c r="K3234">
        <f>HYPERLINK("http://gitlab.osmosys.co/incident-reporter/incident-reporter-api/-/merge_requests/4034#note_232204", "Removed this as per suggestion")</f>
        <v/>
      </c>
      <c r="L3234" t="inlineStr">
        <is>
          <t>2025-07-04 17:45:02.830 IST</t>
        </is>
      </c>
      <c r="M3234" t="inlineStr">
        <is>
          <t>Lakhan Badure</t>
        </is>
      </c>
      <c r="N3234" t="inlineStr">
        <is>
          <t>No</t>
        </is>
      </c>
      <c r="O3234" t="inlineStr">
        <is>
          <t>Yes</t>
        </is>
      </c>
      <c r="P3234" t="inlineStr">
        <is>
          <t>Sindhusha</t>
        </is>
      </c>
      <c r="Q3234" t="inlineStr">
        <is>
          <t>Bad</t>
        </is>
      </c>
    </row>
    <row r="3235">
      <c r="A3235" t="inlineStr">
        <is>
          <t>lakhan.b</t>
        </is>
      </c>
      <c r="B3235" t="inlineStr">
        <is>
          <t>Lakhan Badure</t>
        </is>
      </c>
      <c r="C3235" t="inlineStr">
        <is>
          <t>lakhan.b@osmosys.co</t>
        </is>
      </c>
      <c r="D3235" t="inlineStr">
        <is>
          <t>incident-reporter</t>
        </is>
      </c>
      <c r="E3235">
        <f>HYPERLINK("http://gitlab.osmosys.co/incident-reporter/incident-reporter-api", "OQSHA-API")</f>
        <v/>
      </c>
      <c r="F3235">
        <f>HYPERLINK("http://gitlab.osmosys.co/incident-reporter/incident-reporter-api/-/merge_requests/4034", "feat: add new status and due date property in incident module")</f>
        <v/>
      </c>
      <c r="G3235" t="inlineStr">
        <is>
          <t>feat/add-new-status-tickets</t>
        </is>
      </c>
      <c r="H3235" t="inlineStr">
        <is>
          <t>sprint-17</t>
        </is>
      </c>
      <c r="I3235" t="inlineStr">
        <is>
          <t>merged</t>
        </is>
      </c>
      <c r="J3235" t="inlineStr">
        <is>
          <t>5df1bc28448b0914f59ea736d35d403268c0a27a</t>
        </is>
      </c>
      <c r="K3235">
        <f>HYPERLINK("http://gitlab.osmosys.co/incident-reporter/incident-reporter-api/-/merge_requests/4034#note_232695", "Use the formatting from web config, Handle it everywhere in the code that you have written")</f>
        <v/>
      </c>
      <c r="L3235" t="inlineStr">
        <is>
          <t>2025-07-07 17:31:55.406 IST</t>
        </is>
      </c>
      <c r="M3235" t="inlineStr">
        <is>
          <t>Kumar Samarjeet</t>
        </is>
      </c>
      <c r="N3235" t="inlineStr">
        <is>
          <t>Yes</t>
        </is>
      </c>
      <c r="O3235" t="inlineStr">
        <is>
          <t>Yes</t>
        </is>
      </c>
      <c r="P3235" t="inlineStr">
        <is>
          <t>Sindhusha</t>
        </is>
      </c>
      <c r="Q3235" t="inlineStr">
        <is>
          <t>Bad</t>
        </is>
      </c>
    </row>
    <row r="3236">
      <c r="A3236" t="inlineStr">
        <is>
          <t>lakhan.b</t>
        </is>
      </c>
      <c r="B3236" t="inlineStr">
        <is>
          <t>Lakhan Badure</t>
        </is>
      </c>
      <c r="C3236" t="inlineStr">
        <is>
          <t>lakhan.b@osmosys.co</t>
        </is>
      </c>
      <c r="D3236" t="inlineStr">
        <is>
          <t>incident-reporter</t>
        </is>
      </c>
      <c r="E3236">
        <f>HYPERLINK("http://gitlab.osmosys.co/incident-reporter/incident-reporter-api", "OQSHA-API")</f>
        <v/>
      </c>
      <c r="F3236">
        <f>HYPERLINK("http://gitlab.osmosys.co/incident-reporter/incident-reporter-api/-/merge_requests/4034", "feat: add new status and due date property in incident module")</f>
        <v/>
      </c>
      <c r="G3236" t="inlineStr">
        <is>
          <t>feat/add-new-status-tickets</t>
        </is>
      </c>
      <c r="H3236" t="inlineStr">
        <is>
          <t>sprint-17</t>
        </is>
      </c>
      <c r="I3236" t="inlineStr">
        <is>
          <t>merged</t>
        </is>
      </c>
      <c r="J3236" t="inlineStr">
        <is>
          <t>5df1bc28448b0914f59ea736d35d403268c0a27a</t>
        </is>
      </c>
      <c r="K3236">
        <f>HYPERLINK("http://gitlab.osmosys.co/incident-reporter/incident-reporter-api/-/merge_requests/4034#note_232920", "Used config defined format")</f>
        <v/>
      </c>
      <c r="L3236" t="inlineStr">
        <is>
          <t>2025-07-08 11:45:20.564 IST</t>
        </is>
      </c>
      <c r="M3236" t="inlineStr">
        <is>
          <t>Lakhan Badure</t>
        </is>
      </c>
      <c r="N3236" t="inlineStr">
        <is>
          <t>No</t>
        </is>
      </c>
      <c r="O3236" t="inlineStr">
        <is>
          <t>Yes</t>
        </is>
      </c>
      <c r="P3236" t="inlineStr">
        <is>
          <t>Sindhusha</t>
        </is>
      </c>
      <c r="Q3236" t="inlineStr">
        <is>
          <t>Bad</t>
        </is>
      </c>
    </row>
    <row r="3237">
      <c r="A3237" t="inlineStr">
        <is>
          <t>lakhan.b</t>
        </is>
      </c>
      <c r="B3237" t="inlineStr">
        <is>
          <t>Lakhan Badure</t>
        </is>
      </c>
      <c r="C3237" t="inlineStr">
        <is>
          <t>lakhan.b@osmosys.co</t>
        </is>
      </c>
      <c r="D3237" t="inlineStr">
        <is>
          <t>incident-reporter</t>
        </is>
      </c>
      <c r="E3237">
        <f>HYPERLINK("http://gitlab.osmosys.co/incident-reporter/incident-reporter-api", "OQSHA-API")</f>
        <v/>
      </c>
      <c r="F3237">
        <f>HYPERLINK("http://gitlab.osmosys.co/incident-reporter/incident-reporter-api/-/merge_requests/4020", "fix: add fix for hira PDF history along dynamic configs")</f>
        <v/>
      </c>
      <c r="G3237" t="inlineStr">
        <is>
          <t>fix/export-pdf-hira</t>
        </is>
      </c>
      <c r="H3237" t="inlineStr">
        <is>
          <t>sprint-19</t>
        </is>
      </c>
      <c r="I3237" t="inlineStr">
        <is>
          <t>merged</t>
        </is>
      </c>
      <c r="J3237" t="inlineStr"/>
      <c r="K3237" t="inlineStr"/>
      <c r="L3237" t="inlineStr"/>
      <c r="M3237" t="inlineStr"/>
      <c r="N3237" t="inlineStr"/>
      <c r="O3237" t="inlineStr"/>
      <c r="P3237" t="inlineStr"/>
      <c r="Q3237" t="inlineStr"/>
    </row>
    <row r="3238">
      <c r="A3238" t="inlineStr">
        <is>
          <t>lakhan.b</t>
        </is>
      </c>
      <c r="B3238" t="inlineStr">
        <is>
          <t>Lakhan Badure</t>
        </is>
      </c>
      <c r="C3238" t="inlineStr">
        <is>
          <t>lakhan.b@osmosys.co</t>
        </is>
      </c>
      <c r="D3238" t="inlineStr">
        <is>
          <t>incident-reporter</t>
        </is>
      </c>
      <c r="E3238">
        <f>HYPERLINK("http://gitlab.osmosys.co/incident-reporter/incident-reporter-api", "OQSHA-API")</f>
        <v/>
      </c>
      <c r="F3238">
        <f>HYPERLINK("http://gitlab.osmosys.co/incident-reporter/incident-reporter-api/-/merge_requests/4015", "fix: add org id validation on user drop down")</f>
        <v/>
      </c>
      <c r="G3238" t="inlineStr">
        <is>
          <t>fix/validation-drop-down</t>
        </is>
      </c>
      <c r="H3238" t="inlineStr">
        <is>
          <t>sprint-17</t>
        </is>
      </c>
      <c r="I3238" t="inlineStr">
        <is>
          <t>merged</t>
        </is>
      </c>
      <c r="J3238" t="inlineStr">
        <is>
          <t>286756216f013852f17a5a9e1e165b17dbc8ab9e</t>
        </is>
      </c>
      <c r="K3238">
        <f>HYPERLINK("http://gitlab.osmosys.co/incident-reporter/incident-reporter-api/-/merge_requests/4015#note_233428", "Shouldn't this function be in BLL?")</f>
        <v/>
      </c>
      <c r="L3238" t="inlineStr">
        <is>
          <t>2025-07-09 12:11:44.436 IST</t>
        </is>
      </c>
      <c r="M3238" t="inlineStr">
        <is>
          <t>Kumar Samarjeet</t>
        </is>
      </c>
      <c r="N3238" t="inlineStr">
        <is>
          <t>Yes</t>
        </is>
      </c>
      <c r="O3238" t="inlineStr">
        <is>
          <t>Yes</t>
        </is>
      </c>
      <c r="P3238" t="inlineStr">
        <is>
          <t>Sindhusha</t>
        </is>
      </c>
      <c r="Q3238" t="inlineStr">
        <is>
          <t>Bad</t>
        </is>
      </c>
    </row>
    <row r="3239">
      <c r="A3239" t="inlineStr">
        <is>
          <t>lakhan.b</t>
        </is>
      </c>
      <c r="B3239" t="inlineStr">
        <is>
          <t>Lakhan Badure</t>
        </is>
      </c>
      <c r="C3239" t="inlineStr">
        <is>
          <t>lakhan.b@osmosys.co</t>
        </is>
      </c>
      <c r="D3239" t="inlineStr">
        <is>
          <t>incident-reporter</t>
        </is>
      </c>
      <c r="E3239">
        <f>HYPERLINK("http://gitlab.osmosys.co/incident-reporter/incident-reporter-api", "OQSHA-API")</f>
        <v/>
      </c>
      <c r="F3239">
        <f>HYPERLINK("http://gitlab.osmosys.co/incident-reporter/incident-reporter-api/-/merge_requests/4015", "fix: add org id validation on user drop down")</f>
        <v/>
      </c>
      <c r="G3239" t="inlineStr">
        <is>
          <t>fix/validation-drop-down</t>
        </is>
      </c>
      <c r="H3239" t="inlineStr">
        <is>
          <t>sprint-17</t>
        </is>
      </c>
      <c r="I3239" t="inlineStr">
        <is>
          <t>merged</t>
        </is>
      </c>
      <c r="J3239" t="inlineStr">
        <is>
          <t>286756216f013852f17a5a9e1e165b17dbc8ab9e</t>
        </is>
      </c>
      <c r="K3239">
        <f>HYPERLINK("http://gitlab.osmosys.co/incident-reporter/incident-reporter-api/-/merge_requests/4015#note_233548", "Moved to BLL")</f>
        <v/>
      </c>
      <c r="L3239" t="inlineStr">
        <is>
          <t>2025-07-09 14:14:19.300 IST</t>
        </is>
      </c>
      <c r="M3239" t="inlineStr">
        <is>
          <t>Lakhan Badure</t>
        </is>
      </c>
      <c r="N3239" t="inlineStr">
        <is>
          <t>No</t>
        </is>
      </c>
      <c r="O3239" t="inlineStr">
        <is>
          <t>Yes</t>
        </is>
      </c>
      <c r="P3239" t="inlineStr">
        <is>
          <t>Sindhusha</t>
        </is>
      </c>
      <c r="Q3239" t="inlineStr">
        <is>
          <t>Bad</t>
        </is>
      </c>
    </row>
    <row r="3240">
      <c r="A3240" t="inlineStr">
        <is>
          <t>lakhan.b</t>
        </is>
      </c>
      <c r="B3240" t="inlineStr">
        <is>
          <t>Lakhan Badure</t>
        </is>
      </c>
      <c r="C3240" t="inlineStr">
        <is>
          <t>lakhan.b@osmosys.co</t>
        </is>
      </c>
      <c r="D3240" t="inlineStr">
        <is>
          <t>incident-reporter</t>
        </is>
      </c>
      <c r="E3240">
        <f>HYPERLINK("http://gitlab.osmosys.co/incident-reporter/incident-reporter-api", "OQSHA-API")</f>
        <v/>
      </c>
      <c r="F3240">
        <f>HYPERLINK("http://gitlab.osmosys.co/incident-reporter/incident-reporter-api/-/merge_requests/4015", "fix: add org id validation on user drop down")</f>
        <v/>
      </c>
      <c r="G3240" t="inlineStr">
        <is>
          <t>fix/validation-drop-down</t>
        </is>
      </c>
      <c r="H3240" t="inlineStr">
        <is>
          <t>sprint-17</t>
        </is>
      </c>
      <c r="I3240" t="inlineStr">
        <is>
          <t>merged</t>
        </is>
      </c>
      <c r="J3240" t="inlineStr">
        <is>
          <t>805a1c5ba49b80915fbb7d74de1f7ca1ba63a404</t>
        </is>
      </c>
      <c r="K3240">
        <f>HYPERLINK("http://gitlab.osmosys.co/incident-reporter/incident-reporter-api/-/merge_requests/4015#note_233429", "You are overriding the values in AcmRoleIds, Shouldn't this be intersection or union happening with AcmRoleIds?")</f>
        <v/>
      </c>
      <c r="L3240" t="inlineStr">
        <is>
          <t>2025-07-09 12:11:44.558 IST</t>
        </is>
      </c>
      <c r="M3240" t="inlineStr">
        <is>
          <t>Kumar Samarjeet</t>
        </is>
      </c>
      <c r="N3240" t="inlineStr">
        <is>
          <t>Yes</t>
        </is>
      </c>
      <c r="O3240" t="inlineStr">
        <is>
          <t>Yes</t>
        </is>
      </c>
      <c r="P3240" t="inlineStr">
        <is>
          <t>Sindhusha</t>
        </is>
      </c>
      <c r="Q3240" t="inlineStr">
        <is>
          <t>Bad</t>
        </is>
      </c>
    </row>
    <row r="3241">
      <c r="A3241" t="inlineStr">
        <is>
          <t>lakhan.b</t>
        </is>
      </c>
      <c r="B3241" t="inlineStr">
        <is>
          <t>Lakhan Badure</t>
        </is>
      </c>
      <c r="C3241" t="inlineStr">
        <is>
          <t>lakhan.b@osmosys.co</t>
        </is>
      </c>
      <c r="D3241" t="inlineStr">
        <is>
          <t>incident-reporter</t>
        </is>
      </c>
      <c r="E3241">
        <f>HYPERLINK("http://gitlab.osmosys.co/incident-reporter/incident-reporter-api", "OQSHA-API")</f>
        <v/>
      </c>
      <c r="F3241">
        <f>HYPERLINK("http://gitlab.osmosys.co/incident-reporter/incident-reporter-api/-/merge_requests/4015", "fix: add org id validation on user drop down")</f>
        <v/>
      </c>
      <c r="G3241" t="inlineStr">
        <is>
          <t>fix/validation-drop-down</t>
        </is>
      </c>
      <c r="H3241" t="inlineStr">
        <is>
          <t>sprint-17</t>
        </is>
      </c>
      <c r="I3241" t="inlineStr">
        <is>
          <t>merged</t>
        </is>
      </c>
      <c r="J3241" t="inlineStr">
        <is>
          <t>805a1c5ba49b80915fbb7d74de1f7ca1ba63a404</t>
        </is>
      </c>
      <c r="K3241">
        <f>HYPERLINK("http://gitlab.osmosys.co/incident-reporter/incident-reporter-api/-/merge_requests/4015#note_233549", "AcmRoleIds is not a UI parameter(discussed with UI team) removed that from input filter as its part of module name logic
Refer PR link: [Backend Added the new property link](https://gitlab.osmosys.co/incident-reporter/incident-reporter-api/-/merge_requests/3952)")</f>
        <v/>
      </c>
      <c r="L3241" t="inlineStr">
        <is>
          <t>2025-07-09 14:16:18.745 IST</t>
        </is>
      </c>
      <c r="M3241" t="inlineStr">
        <is>
          <t>Lakhan Badure</t>
        </is>
      </c>
      <c r="N3241" t="inlineStr">
        <is>
          <t>No</t>
        </is>
      </c>
      <c r="O3241" t="inlineStr">
        <is>
          <t>Yes</t>
        </is>
      </c>
      <c r="P3241" t="inlineStr">
        <is>
          <t>Sindhusha</t>
        </is>
      </c>
      <c r="Q3241" t="inlineStr">
        <is>
          <t>Bad</t>
        </is>
      </c>
    </row>
    <row r="3242">
      <c r="A3242" t="inlineStr">
        <is>
          <t>lakhan.b</t>
        </is>
      </c>
      <c r="B3242" t="inlineStr">
        <is>
          <t>Lakhan Badure</t>
        </is>
      </c>
      <c r="C3242" t="inlineStr">
        <is>
          <t>lakhan.b@osmosys.co</t>
        </is>
      </c>
      <c r="D3242" t="inlineStr">
        <is>
          <t>incident-reporter</t>
        </is>
      </c>
      <c r="E3242">
        <f>HYPERLINK("http://gitlab.osmosys.co/incident-reporter/incident-reporter-api", "OQSHA-API")</f>
        <v/>
      </c>
      <c r="F3242">
        <f>HYPERLINK("http://gitlab.osmosys.co/incident-reporter/incident-reporter-api/-/merge_requests/4014", "fix: remove module name filter from gett all users")</f>
        <v/>
      </c>
      <c r="G3242" t="inlineStr">
        <is>
          <t>fix/get-all-users</t>
        </is>
      </c>
      <c r="H3242" t="inlineStr">
        <is>
          <t>sprint-17</t>
        </is>
      </c>
      <c r="I3242" t="inlineStr">
        <is>
          <t>merged</t>
        </is>
      </c>
      <c r="J3242" t="inlineStr"/>
      <c r="K3242" t="inlineStr"/>
      <c r="L3242" t="inlineStr"/>
      <c r="M3242" t="inlineStr"/>
      <c r="N3242" t="inlineStr"/>
      <c r="O3242" t="inlineStr"/>
      <c r="P3242" t="inlineStr"/>
      <c r="Q3242" t="inlineStr"/>
    </row>
    <row r="3243">
      <c r="A3243" t="inlineStr">
        <is>
          <t>sayan.mondal</t>
        </is>
      </c>
      <c r="B3243" t="inlineStr">
        <is>
          <t>Sayan Mondal</t>
        </is>
      </c>
      <c r="C3243" t="inlineStr">
        <is>
          <t>sayan.m@osmosys.co</t>
        </is>
      </c>
      <c r="D3243" t="inlineStr">
        <is>
          <t>incident-reporter</t>
        </is>
      </c>
      <c r="E3243">
        <f>HYPERLINK("http://gitlab.osmosys.co/incident-reporter/incident-reporter-angular-portal", "OQSHA Portal")</f>
        <v/>
      </c>
      <c r="F3243">
        <f>HYPERLINK("http://gitlab.osmosys.co/incident-reporter/incident-reporter-angular-portal/-/merge_requests/3700", "Feat/course quiz")</f>
        <v/>
      </c>
      <c r="G3243" t="inlineStr">
        <is>
          <t>feat/course-quiz</t>
        </is>
      </c>
      <c r="H3243" t="inlineStr">
        <is>
          <t>sprint-19</t>
        </is>
      </c>
      <c r="I3243" t="inlineStr">
        <is>
          <t>opened</t>
        </is>
      </c>
      <c r="J3243" t="inlineStr"/>
      <c r="K3243" t="inlineStr"/>
      <c r="L3243" t="inlineStr"/>
      <c r="M3243" t="inlineStr"/>
      <c r="N3243" t="inlineStr"/>
      <c r="O3243" t="inlineStr"/>
      <c r="P3243" t="inlineStr"/>
      <c r="Q3243" t="inlineStr"/>
    </row>
    <row r="3244">
      <c r="A3244" t="inlineStr">
        <is>
          <t>sayan.mondal</t>
        </is>
      </c>
      <c r="B3244" t="inlineStr">
        <is>
          <t>Sayan Mondal</t>
        </is>
      </c>
      <c r="C3244" t="inlineStr">
        <is>
          <t>sayan.m@osmosys.co</t>
        </is>
      </c>
      <c r="D3244" t="inlineStr">
        <is>
          <t>incident-reporter</t>
        </is>
      </c>
      <c r="E3244">
        <f>HYPERLINK("http://gitlab.osmosys.co/incident-reporter/incident-reporter-angular-portal", "OQSHA Portal")</f>
        <v/>
      </c>
      <c r="F3244">
        <f>HYPERLINK("http://gitlab.osmosys.co/incident-reporter/incident-reporter-angular-portal/-/merge_requests/3685", "fix: remove similar ticket from incident grid")</f>
        <v/>
      </c>
      <c r="G3244" t="inlineStr">
        <is>
          <t>fix/similar-ticket</t>
        </is>
      </c>
      <c r="H3244" t="inlineStr">
        <is>
          <t>sprint-18</t>
        </is>
      </c>
      <c r="I3244" t="inlineStr">
        <is>
          <t>opened</t>
        </is>
      </c>
      <c r="J3244" t="inlineStr">
        <is>
          <t>8f24aa4129ea4926529be63ae54ee83a1e4eaf24</t>
        </is>
      </c>
      <c r="K3244">
        <f>HYPERLINK("http://gitlab.osmosys.co/incident-reporter/incident-reporter-angular-portal/-/merge_requests/3685#note_245676", "Do we not have to re-adjust the width percentage now that more space is available?")</f>
        <v/>
      </c>
      <c r="L3244" t="inlineStr">
        <is>
          <t>2025-08-01 18:01:04.319 IST</t>
        </is>
      </c>
      <c r="M3244" t="inlineStr">
        <is>
          <t>Sameer Shaik</t>
        </is>
      </c>
      <c r="N3244" t="inlineStr">
        <is>
          <t>Yes</t>
        </is>
      </c>
      <c r="O3244" t="inlineStr">
        <is>
          <t>No</t>
        </is>
      </c>
      <c r="P3244" t="inlineStr"/>
      <c r="Q3244" t="inlineStr">
        <is>
          <t>Bad</t>
        </is>
      </c>
    </row>
    <row r="3245">
      <c r="A3245" t="inlineStr">
        <is>
          <t>sayan.mondal</t>
        </is>
      </c>
      <c r="B3245" t="inlineStr">
        <is>
          <t>Sayan Mondal</t>
        </is>
      </c>
      <c r="C3245" t="inlineStr">
        <is>
          <t>sayan.m@osmosys.co</t>
        </is>
      </c>
      <c r="D3245" t="inlineStr">
        <is>
          <t>incident-reporter</t>
        </is>
      </c>
      <c r="E3245">
        <f>HYPERLINK("http://gitlab.osmosys.co/incident-reporter/incident-reporter-angular-portal", "OQSHA Portal")</f>
        <v/>
      </c>
      <c r="F3245">
        <f>HYPERLINK("http://gitlab.osmosys.co/incident-reporter/incident-reporter-angular-portal/-/merge_requests/3685", "fix: remove similar ticket from incident grid")</f>
        <v/>
      </c>
      <c r="G3245" t="inlineStr">
        <is>
          <t>fix/similar-ticket</t>
        </is>
      </c>
      <c r="H3245" t="inlineStr">
        <is>
          <t>sprint-18</t>
        </is>
      </c>
      <c r="I3245" t="inlineStr">
        <is>
          <t>opened</t>
        </is>
      </c>
      <c r="J3245" t="inlineStr">
        <is>
          <t>8f24aa4129ea4926529be63ae54ee83a1e4eaf24</t>
        </is>
      </c>
      <c r="K3245">
        <f>HYPERLINK("http://gitlab.osmosys.co/incident-reporter/incident-reporter-angular-portal/-/merge_requests/3685#note_245679", "@sameer we don't need to re-adjust the width percentage for this, already checked in the portal for all the orgs")</f>
        <v/>
      </c>
      <c r="L3245" t="inlineStr">
        <is>
          <t>2025-08-01 18:07:48.846 IST</t>
        </is>
      </c>
      <c r="M3245" t="inlineStr">
        <is>
          <t>Sayan Mondal</t>
        </is>
      </c>
      <c r="N3245" t="inlineStr">
        <is>
          <t>No</t>
        </is>
      </c>
      <c r="O3245" t="inlineStr">
        <is>
          <t>No</t>
        </is>
      </c>
      <c r="P3245" t="inlineStr"/>
      <c r="Q3245" t="inlineStr">
        <is>
          <t>Bad</t>
        </is>
      </c>
    </row>
    <row r="3246">
      <c r="A3246" t="inlineStr">
        <is>
          <t>sayan.mondal</t>
        </is>
      </c>
      <c r="B3246" t="inlineStr">
        <is>
          <t>Sayan Mondal</t>
        </is>
      </c>
      <c r="C3246" t="inlineStr">
        <is>
          <t>sayan.m@osmosys.co</t>
        </is>
      </c>
      <c r="D3246" t="inlineStr">
        <is>
          <t>incident-reporter</t>
        </is>
      </c>
      <c r="E3246">
        <f>HYPERLINK("http://gitlab.osmosys.co/incident-reporter/incident-reporter-angular-portal", "OQSHA Portal")</f>
        <v/>
      </c>
      <c r="F3246">
        <f>HYPERLINK("http://gitlab.osmosys.co/incident-reporter/incident-reporter-angular-portal/-/merge_requests/3682", "feat: add pre-training quiz &amp; post training quiz sections in courses")</f>
        <v/>
      </c>
      <c r="G3246" t="inlineStr">
        <is>
          <t>feat/training-course</t>
        </is>
      </c>
      <c r="H3246" t="inlineStr">
        <is>
          <t>sprint-19</t>
        </is>
      </c>
      <c r="I3246" t="inlineStr">
        <is>
          <t>merged</t>
        </is>
      </c>
      <c r="J3246" t="inlineStr">
        <is>
          <t>0debc8069762c304a343ae6d1e64c6fee2d0ddef</t>
        </is>
      </c>
      <c r="K3246">
        <f>HYPERLINK("http://gitlab.osmosys.co/incident-reporter/incident-reporter-angular-portal/-/merge_requests/3682#note_246581", "Merging this right now, comments here should be resolved in a separate PR.")</f>
        <v/>
      </c>
      <c r="L3246" t="inlineStr">
        <is>
          <t>2025-08-02 21:00:05.348 IST</t>
        </is>
      </c>
      <c r="M3246" t="inlineStr">
        <is>
          <t>Raj Kumar</t>
        </is>
      </c>
      <c r="N3246" t="inlineStr">
        <is>
          <t>Yes</t>
        </is>
      </c>
      <c r="O3246" t="inlineStr">
        <is>
          <t>No</t>
        </is>
      </c>
      <c r="P3246" t="inlineStr"/>
      <c r="Q3246" t="inlineStr">
        <is>
          <t>Bad</t>
        </is>
      </c>
    </row>
    <row r="3247">
      <c r="A3247" t="inlineStr">
        <is>
          <t>sayan.mondal</t>
        </is>
      </c>
      <c r="B3247" t="inlineStr">
        <is>
          <t>Sayan Mondal</t>
        </is>
      </c>
      <c r="C3247" t="inlineStr">
        <is>
          <t>sayan.m@osmosys.co</t>
        </is>
      </c>
      <c r="D3247" t="inlineStr">
        <is>
          <t>incident-reporter</t>
        </is>
      </c>
      <c r="E3247">
        <f>HYPERLINK("http://gitlab.osmosys.co/incident-reporter/incident-reporter-angular-portal", "OQSHA Portal")</f>
        <v/>
      </c>
      <c r="F3247">
        <f>HYPERLINK("http://gitlab.osmosys.co/incident-reporter/incident-reporter-angular-portal/-/merge_requests/3681", "fix: handle email validation for contractor user checklist")</f>
        <v/>
      </c>
      <c r="G3247" t="inlineStr">
        <is>
          <t>fix/email-validation</t>
        </is>
      </c>
      <c r="H3247" t="inlineStr">
        <is>
          <t>sprint-19</t>
        </is>
      </c>
      <c r="I3247" t="inlineStr">
        <is>
          <t>opened</t>
        </is>
      </c>
      <c r="J3247" t="inlineStr">
        <is>
          <t>fc74a171ced343e0fc959bfa105fb5a6c41ab72b</t>
        </is>
      </c>
      <c r="K3247">
        <f>HYPERLINK("http://gitlab.osmosys.co/incident-reporter/incident-reporter-angular-portal/-/merge_requests/3681#note_245380", "Such kind of test cases is not acceptable please add the test cases which all possible cases which QA should test and also which are tested by QA that cases should also be there and tested.
No test cases and no screen recording")</f>
        <v/>
      </c>
      <c r="L3247" t="inlineStr">
        <is>
          <t>2025-08-01 14:27:19.607 IST</t>
        </is>
      </c>
      <c r="M3247" t="inlineStr">
        <is>
          <t>Soundariya B</t>
        </is>
      </c>
      <c r="N3247" t="inlineStr">
        <is>
          <t>Yes</t>
        </is>
      </c>
      <c r="O3247" t="inlineStr">
        <is>
          <t>Yes</t>
        </is>
      </c>
      <c r="P3247" t="inlineStr">
        <is>
          <t>Soundariya B</t>
        </is>
      </c>
      <c r="Q3247" t="inlineStr">
        <is>
          <t>Bad</t>
        </is>
      </c>
    </row>
    <row r="3248">
      <c r="A3248" t="inlineStr">
        <is>
          <t>sayan.mondal</t>
        </is>
      </c>
      <c r="B3248" t="inlineStr">
        <is>
          <t>Sayan Mondal</t>
        </is>
      </c>
      <c r="C3248" t="inlineStr">
        <is>
          <t>sayan.m@osmosys.co</t>
        </is>
      </c>
      <c r="D3248" t="inlineStr">
        <is>
          <t>incident-reporter</t>
        </is>
      </c>
      <c r="E3248">
        <f>HYPERLINK("http://gitlab.osmosys.co/incident-reporter/incident-reporter-angular-portal", "OQSHA Portal")</f>
        <v/>
      </c>
      <c r="F3248">
        <f>HYPERLINK("http://gitlab.osmosys.co/incident-reporter/incident-reporter-angular-portal/-/merge_requests/3681", "fix: handle email validation for contractor user checklist")</f>
        <v/>
      </c>
      <c r="G3248" t="inlineStr">
        <is>
          <t>fix/email-validation</t>
        </is>
      </c>
      <c r="H3248" t="inlineStr">
        <is>
          <t>sprint-19</t>
        </is>
      </c>
      <c r="I3248" t="inlineStr">
        <is>
          <t>opened</t>
        </is>
      </c>
      <c r="J3248" t="inlineStr">
        <is>
          <t>fc74a171ced343e0fc959bfa105fb5a6c41ab72b</t>
        </is>
      </c>
      <c r="K3248">
        <f>HYPERLINK("http://gitlab.osmosys.co/incident-reporter/incident-reporter-angular-portal/-/merge_requests/3681#note_245415", "This is a very small change, so I believe Test Case isn't required. It is just a small email validation no other change.")</f>
        <v/>
      </c>
      <c r="L3248" t="inlineStr">
        <is>
          <t>2025-08-01 14:45:58.660 IST</t>
        </is>
      </c>
      <c r="M3248" t="inlineStr">
        <is>
          <t>Sayan Mondal</t>
        </is>
      </c>
      <c r="N3248" t="inlineStr">
        <is>
          <t>No</t>
        </is>
      </c>
      <c r="O3248" t="inlineStr">
        <is>
          <t>Yes</t>
        </is>
      </c>
      <c r="P3248" t="inlineStr">
        <is>
          <t>Soundariya B</t>
        </is>
      </c>
      <c r="Q3248" t="inlineStr">
        <is>
          <t>Bad</t>
        </is>
      </c>
    </row>
    <row r="3249">
      <c r="A3249" t="inlineStr">
        <is>
          <t>sayan.mondal</t>
        </is>
      </c>
      <c r="B3249" t="inlineStr">
        <is>
          <t>Sayan Mondal</t>
        </is>
      </c>
      <c r="C3249" t="inlineStr">
        <is>
          <t>sayan.m@osmosys.co</t>
        </is>
      </c>
      <c r="D3249" t="inlineStr">
        <is>
          <t>incident-reporter</t>
        </is>
      </c>
      <c r="E3249">
        <f>HYPERLINK("http://gitlab.osmosys.co/incident-reporter/incident-reporter-angular-portal", "OQSHA Portal")</f>
        <v/>
      </c>
      <c r="F3249">
        <f>HYPERLINK("http://gitlab.osmosys.co/incident-reporter/incident-reporter-angular-portal/-/merge_requests/3681", "fix: handle email validation for contractor user checklist")</f>
        <v/>
      </c>
      <c r="G3249" t="inlineStr">
        <is>
          <t>fix/email-validation</t>
        </is>
      </c>
      <c r="H3249" t="inlineStr">
        <is>
          <t>sprint-19</t>
        </is>
      </c>
      <c r="I3249" t="inlineStr">
        <is>
          <t>opened</t>
        </is>
      </c>
      <c r="J3249" t="inlineStr">
        <is>
          <t>fc74a171ced343e0fc959bfa105fb5a6c41ab72b</t>
        </is>
      </c>
      <c r="K3249">
        <f>HYPERLINK("http://gitlab.osmosys.co/incident-reporter/incident-reporter-angular-portal/-/merge_requests/3681#note_245948", "As Sindhu said if no testcase or screen recording or SS attached then don't approve it - its needed for the proof of testing of this PR changes")</f>
        <v/>
      </c>
      <c r="L3249" t="inlineStr">
        <is>
          <t>2025-08-02 03:25:10.321 IST</t>
        </is>
      </c>
      <c r="M3249" t="inlineStr">
        <is>
          <t>Soundariya B</t>
        </is>
      </c>
      <c r="N3249" t="inlineStr">
        <is>
          <t>Yes</t>
        </is>
      </c>
      <c r="O3249" t="inlineStr">
        <is>
          <t>Yes</t>
        </is>
      </c>
      <c r="P3249" t="inlineStr">
        <is>
          <t>Soundariya B</t>
        </is>
      </c>
      <c r="Q3249" t="inlineStr">
        <is>
          <t>Bad</t>
        </is>
      </c>
    </row>
    <row r="3250">
      <c r="A3250" t="inlineStr">
        <is>
          <t>sayan.mondal</t>
        </is>
      </c>
      <c r="B3250" t="inlineStr">
        <is>
          <t>Sayan Mondal</t>
        </is>
      </c>
      <c r="C3250" t="inlineStr">
        <is>
          <t>sayan.m@osmosys.co</t>
        </is>
      </c>
      <c r="D3250" t="inlineStr">
        <is>
          <t>incident-reporter</t>
        </is>
      </c>
      <c r="E3250">
        <f>HYPERLINK("http://gitlab.osmosys.co/incident-reporter/incident-reporter-angular-portal", "OQSHA Portal")</f>
        <v/>
      </c>
      <c r="F3250">
        <f>HYPERLINK("http://gitlab.osmosys.co/incident-reporter/incident-reporter-angular-portal/-/merge_requests/3681", "fix: handle email validation for contractor user checklist")</f>
        <v/>
      </c>
      <c r="G3250" t="inlineStr">
        <is>
          <t>fix/email-validation</t>
        </is>
      </c>
      <c r="H3250" t="inlineStr">
        <is>
          <t>sprint-19</t>
        </is>
      </c>
      <c r="I3250" t="inlineStr">
        <is>
          <t>opened</t>
        </is>
      </c>
      <c r="J3250" t="inlineStr">
        <is>
          <t>2b3c903d751bd7b0278907363e6eac600318e967</t>
        </is>
      </c>
      <c r="K3250">
        <f>HYPERLINK("http://gitlab.osmosys.co/incident-reporter/incident-reporter-angular-portal/-/merge_requests/3681#note_245381", "Can you get the error message from 'LABELS.WORK_PERMIT.ERROR_CODE'?")</f>
        <v/>
      </c>
      <c r="L3250" t="inlineStr">
        <is>
          <t>2025-08-01 14:27:19.681 IST</t>
        </is>
      </c>
      <c r="M3250" t="inlineStr">
        <is>
          <t>Soundariya B</t>
        </is>
      </c>
      <c r="N3250" t="inlineStr">
        <is>
          <t>Yes</t>
        </is>
      </c>
      <c r="O3250" t="inlineStr">
        <is>
          <t>Yes</t>
        </is>
      </c>
      <c r="P3250" t="inlineStr">
        <is>
          <t>Soundariya B</t>
        </is>
      </c>
      <c r="Q3250" t="inlineStr">
        <is>
          <t>Bad</t>
        </is>
      </c>
    </row>
    <row r="3251">
      <c r="A3251" t="inlineStr">
        <is>
          <t>sayan.mondal</t>
        </is>
      </c>
      <c r="B3251" t="inlineStr">
        <is>
          <t>Sayan Mondal</t>
        </is>
      </c>
      <c r="C3251" t="inlineStr">
        <is>
          <t>sayan.m@osmosys.co</t>
        </is>
      </c>
      <c r="D3251" t="inlineStr">
        <is>
          <t>incident-reporter</t>
        </is>
      </c>
      <c r="E3251">
        <f>HYPERLINK("http://gitlab.osmosys.co/incident-reporter/incident-reporter-angular-portal", "OQSHA Portal")</f>
        <v/>
      </c>
      <c r="F3251">
        <f>HYPERLINK("http://gitlab.osmosys.co/incident-reporter/incident-reporter-angular-portal/-/merge_requests/3681", "fix: handle email validation for contractor user checklist")</f>
        <v/>
      </c>
      <c r="G3251" t="inlineStr">
        <is>
          <t>fix/email-validation</t>
        </is>
      </c>
      <c r="H3251" t="inlineStr">
        <is>
          <t>sprint-19</t>
        </is>
      </c>
      <c r="I3251" t="inlineStr">
        <is>
          <t>opened</t>
        </is>
      </c>
      <c r="J3251" t="inlineStr">
        <is>
          <t>2b3c903d751bd7b0278907363e6eac600318e967</t>
        </is>
      </c>
      <c r="K3251">
        <f>HYPERLINK("http://gitlab.osmosys.co/incident-reporter/incident-reporter-angular-portal/-/merge_requests/3681#note_245414", "Why to add another property when it is already present and have to keep same message")</f>
        <v/>
      </c>
      <c r="L3251" t="inlineStr">
        <is>
          <t>2025-08-01 14:45:32.984 IST</t>
        </is>
      </c>
      <c r="M3251" t="inlineStr">
        <is>
          <t>Sayan Mondal</t>
        </is>
      </c>
      <c r="N3251" t="inlineStr">
        <is>
          <t>No</t>
        </is>
      </c>
      <c r="O3251" t="inlineStr">
        <is>
          <t>Yes</t>
        </is>
      </c>
      <c r="P3251" t="inlineStr">
        <is>
          <t>Soundariya B</t>
        </is>
      </c>
      <c r="Q3251" t="inlineStr">
        <is>
          <t>Bad</t>
        </is>
      </c>
    </row>
    <row r="3252">
      <c r="A3252" t="inlineStr">
        <is>
          <t>sayan.mondal</t>
        </is>
      </c>
      <c r="B3252" t="inlineStr">
        <is>
          <t>Sayan Mondal</t>
        </is>
      </c>
      <c r="C3252" t="inlineStr">
        <is>
          <t>sayan.m@osmosys.co</t>
        </is>
      </c>
      <c r="D3252" t="inlineStr">
        <is>
          <t>incident-reporter</t>
        </is>
      </c>
      <c r="E3252">
        <f>HYPERLINK("http://gitlab.osmosys.co/incident-reporter/incident-reporter-angular-portal", "OQSHA Portal")</f>
        <v/>
      </c>
      <c r="F3252">
        <f>HYPERLINK("http://gitlab.osmosys.co/incident-reporter/incident-reporter-angular-portal/-/merge_requests/3681", "fix: handle email validation for contractor user checklist")</f>
        <v/>
      </c>
      <c r="G3252" t="inlineStr">
        <is>
          <t>fix/email-validation</t>
        </is>
      </c>
      <c r="H3252" t="inlineStr">
        <is>
          <t>sprint-19</t>
        </is>
      </c>
      <c r="I3252" t="inlineStr">
        <is>
          <t>opened</t>
        </is>
      </c>
      <c r="J3252" t="inlineStr">
        <is>
          <t>2b3c903d751bd7b0278907363e6eac600318e967</t>
        </is>
      </c>
      <c r="K3252">
        <f>HYPERLINK("http://gitlab.osmosys.co/incident-reporter/incident-reporter-angular-portal/-/merge_requests/3681#note_245949", "Now in all PRs we are asking to get the labels from the respective module object labels which maintain the clean code and can be able to change it easily if required so please add it as Sameer only recommended these kind of changes.")</f>
        <v/>
      </c>
      <c r="L3252" t="inlineStr">
        <is>
          <t>2025-08-02 03:26:43.576 IST</t>
        </is>
      </c>
      <c r="M3252" t="inlineStr">
        <is>
          <t>Soundariya B</t>
        </is>
      </c>
      <c r="N3252" t="inlineStr">
        <is>
          <t>Yes</t>
        </is>
      </c>
      <c r="O3252" t="inlineStr">
        <is>
          <t>Yes</t>
        </is>
      </c>
      <c r="P3252" t="inlineStr">
        <is>
          <t>Soundariya B</t>
        </is>
      </c>
      <c r="Q3252" t="inlineStr">
        <is>
          <t>Bad</t>
        </is>
      </c>
    </row>
    <row r="3253">
      <c r="A3253" t="inlineStr">
        <is>
          <t>sayan.mondal</t>
        </is>
      </c>
      <c r="B3253" t="inlineStr">
        <is>
          <t>Sayan Mondal</t>
        </is>
      </c>
      <c r="C3253" t="inlineStr">
        <is>
          <t>sayan.m@osmosys.co</t>
        </is>
      </c>
      <c r="D3253" t="inlineStr">
        <is>
          <t>incident-reporter</t>
        </is>
      </c>
      <c r="E3253">
        <f>HYPERLINK("http://gitlab.osmosys.co/incident-reporter/incident-reporter-angular-portal", "OQSHA Portal")</f>
        <v/>
      </c>
      <c r="F3253">
        <f>HYPERLINK("http://gitlab.osmosys.co/incident-reporter/incident-reporter-angular-portal/-/merge_requests/3681", "fix: handle email validation for contractor user checklist")</f>
        <v/>
      </c>
      <c r="G3253" t="inlineStr">
        <is>
          <t>fix/email-validation</t>
        </is>
      </c>
      <c r="H3253" t="inlineStr">
        <is>
          <t>sprint-19</t>
        </is>
      </c>
      <c r="I3253" t="inlineStr">
        <is>
          <t>opened</t>
        </is>
      </c>
      <c r="J3253" t="inlineStr">
        <is>
          <t>2b3c903d751bd7b0278907363e6eac600318e967</t>
        </is>
      </c>
      <c r="K3253">
        <f>HYPERLINK("http://gitlab.osmosys.co/incident-reporter/incident-reporter-angular-portal/-/merge_requests/3681#note_246307", "Get it from another property dedicated to Work permit. In future, if we were to make changes in this label thinking that it affects in the Incident, but sharing of label like this may bring unnoticed and likely unwelcomed changes in permit to work also.")</f>
        <v/>
      </c>
      <c r="L3253" t="inlineStr">
        <is>
          <t>2025-08-02 15:37:59.342 IST</t>
        </is>
      </c>
      <c r="M3253" t="inlineStr">
        <is>
          <t>Sameer Shaik</t>
        </is>
      </c>
      <c r="N3253" t="inlineStr">
        <is>
          <t>Yes</t>
        </is>
      </c>
      <c r="O3253" t="inlineStr">
        <is>
          <t>Yes</t>
        </is>
      </c>
      <c r="P3253" t="inlineStr">
        <is>
          <t>Soundariya B</t>
        </is>
      </c>
      <c r="Q3253" t="inlineStr">
        <is>
          <t>Bad</t>
        </is>
      </c>
    </row>
    <row r="3254">
      <c r="A3254" t="inlineStr">
        <is>
          <t>sayan.mondal</t>
        </is>
      </c>
      <c r="B3254" t="inlineStr">
        <is>
          <t>Sayan Mondal</t>
        </is>
      </c>
      <c r="C3254" t="inlineStr">
        <is>
          <t>sayan.m@osmosys.co</t>
        </is>
      </c>
      <c r="D3254" t="inlineStr">
        <is>
          <t>incident-reporter</t>
        </is>
      </c>
      <c r="E3254">
        <f>HYPERLINK("http://gitlab.osmosys.co/incident-reporter/incident-reporter-angular-portal", "OQSHA Portal")</f>
        <v/>
      </c>
      <c r="F3254">
        <f>HYPERLINK("http://gitlab.osmosys.co/incident-reporter/incident-reporter-angular-portal/-/merge_requests/3681", "fix: handle email validation for contractor user checklist")</f>
        <v/>
      </c>
      <c r="G3254" t="inlineStr">
        <is>
          <t>fix/email-validation</t>
        </is>
      </c>
      <c r="H3254" t="inlineStr">
        <is>
          <t>sprint-19</t>
        </is>
      </c>
      <c r="I3254" t="inlineStr">
        <is>
          <t>opened</t>
        </is>
      </c>
      <c r="J3254" t="inlineStr">
        <is>
          <t>960e4a68432836c9fd997ed4c91c47bcc07f8e07</t>
        </is>
      </c>
      <c r="K3254">
        <f>HYPERLINK("http://gitlab.osmosys.co/incident-reporter/incident-reporter-angular-portal/-/merge_requests/3681#note_245382", "Can you get the error message from 'LABELS.WORK_PERMIT.ERROR_CODE'?")</f>
        <v/>
      </c>
      <c r="L3254" t="inlineStr">
        <is>
          <t>2025-08-01 14:27:19.762 IST</t>
        </is>
      </c>
      <c r="M3254" t="inlineStr">
        <is>
          <t>Soundariya B</t>
        </is>
      </c>
      <c r="N3254" t="inlineStr">
        <is>
          <t>Yes</t>
        </is>
      </c>
      <c r="O3254" t="inlineStr">
        <is>
          <t>Yes</t>
        </is>
      </c>
      <c r="P3254" t="inlineStr">
        <is>
          <t>Soundariya B</t>
        </is>
      </c>
      <c r="Q3254" t="inlineStr">
        <is>
          <t>Bad</t>
        </is>
      </c>
    </row>
    <row r="3255">
      <c r="A3255" t="inlineStr">
        <is>
          <t>sayan.mondal</t>
        </is>
      </c>
      <c r="B3255" t="inlineStr">
        <is>
          <t>Sayan Mondal</t>
        </is>
      </c>
      <c r="C3255" t="inlineStr">
        <is>
          <t>sayan.m@osmosys.co</t>
        </is>
      </c>
      <c r="D3255" t="inlineStr">
        <is>
          <t>incident-reporter</t>
        </is>
      </c>
      <c r="E3255">
        <f>HYPERLINK("http://gitlab.osmosys.co/incident-reporter/incident-reporter-angular-portal", "OQSHA Portal")</f>
        <v/>
      </c>
      <c r="F3255">
        <f>HYPERLINK("http://gitlab.osmosys.co/incident-reporter/incident-reporter-angular-portal/-/merge_requests/3681", "fix: handle email validation for contractor user checklist")</f>
        <v/>
      </c>
      <c r="G3255" t="inlineStr">
        <is>
          <t>fix/email-validation</t>
        </is>
      </c>
      <c r="H3255" t="inlineStr">
        <is>
          <t>sprint-19</t>
        </is>
      </c>
      <c r="I3255" t="inlineStr">
        <is>
          <t>opened</t>
        </is>
      </c>
      <c r="J3255" t="inlineStr">
        <is>
          <t>960e4a68432836c9fd997ed4c91c47bcc07f8e07</t>
        </is>
      </c>
      <c r="K3255">
        <f>HYPERLINK("http://gitlab.osmosys.co/incident-reporter/incident-reporter-angular-portal/-/merge_requests/3681#note_245930", "Why to add another property when it is already present and have to keep same message")</f>
        <v/>
      </c>
      <c r="L3255" t="inlineStr">
        <is>
          <t>2025-08-02 03:11:18.343 IST</t>
        </is>
      </c>
      <c r="M3255" t="inlineStr">
        <is>
          <t>Sayan Mondal</t>
        </is>
      </c>
      <c r="N3255" t="inlineStr">
        <is>
          <t>No</t>
        </is>
      </c>
      <c r="O3255" t="inlineStr">
        <is>
          <t>Yes</t>
        </is>
      </c>
      <c r="P3255" t="inlineStr">
        <is>
          <t>Soundariya B</t>
        </is>
      </c>
      <c r="Q3255" t="inlineStr">
        <is>
          <t>Bad</t>
        </is>
      </c>
    </row>
    <row r="3256">
      <c r="A3256" t="inlineStr">
        <is>
          <t>sayan.mondal</t>
        </is>
      </c>
      <c r="B3256" t="inlineStr">
        <is>
          <t>Sayan Mondal</t>
        </is>
      </c>
      <c r="C3256" t="inlineStr">
        <is>
          <t>sayan.m@osmosys.co</t>
        </is>
      </c>
      <c r="D3256" t="inlineStr">
        <is>
          <t>incident-reporter</t>
        </is>
      </c>
      <c r="E3256">
        <f>HYPERLINK("http://gitlab.osmosys.co/incident-reporter/incident-reporter-angular-portal", "OQSHA Portal")</f>
        <v/>
      </c>
      <c r="F3256">
        <f>HYPERLINK("http://gitlab.osmosys.co/incident-reporter/incident-reporter-angular-portal/-/merge_requests/3681", "fix: handle email validation for contractor user checklist")</f>
        <v/>
      </c>
      <c r="G3256" t="inlineStr">
        <is>
          <t>fix/email-validation</t>
        </is>
      </c>
      <c r="H3256" t="inlineStr">
        <is>
          <t>sprint-19</t>
        </is>
      </c>
      <c r="I3256" t="inlineStr">
        <is>
          <t>opened</t>
        </is>
      </c>
      <c r="J3256" t="inlineStr">
        <is>
          <t>960e4a68432836c9fd997ed4c91c47bcc07f8e07</t>
        </is>
      </c>
      <c r="K3256">
        <f>HYPERLINK("http://gitlab.osmosys.co/incident-reporter/incident-reporter-angular-portal/-/merge_requests/3681#note_245950", "Now in all PRs we are asking to get the labels from the respective module object labels which maintain the clean code and can be able to change it easily if required so please add it as Sameer only recommended these kind of changes.")</f>
        <v/>
      </c>
      <c r="L3256" t="inlineStr">
        <is>
          <t>2025-08-02 03:26:56.761 IST</t>
        </is>
      </c>
      <c r="M3256" t="inlineStr">
        <is>
          <t>Soundariya B</t>
        </is>
      </c>
      <c r="N3256" t="inlineStr">
        <is>
          <t>Yes</t>
        </is>
      </c>
      <c r="O3256" t="inlineStr">
        <is>
          <t>Yes</t>
        </is>
      </c>
      <c r="P3256" t="inlineStr">
        <is>
          <t>Soundariya B</t>
        </is>
      </c>
      <c r="Q3256" t="inlineStr">
        <is>
          <t>Bad</t>
        </is>
      </c>
    </row>
    <row r="3257">
      <c r="A3257" t="inlineStr">
        <is>
          <t>sayan.mondal</t>
        </is>
      </c>
      <c r="B3257" t="inlineStr">
        <is>
          <t>Sayan Mondal</t>
        </is>
      </c>
      <c r="C3257" t="inlineStr">
        <is>
          <t>sayan.m@osmosys.co</t>
        </is>
      </c>
      <c r="D3257" t="inlineStr">
        <is>
          <t>incident-reporter</t>
        </is>
      </c>
      <c r="E3257">
        <f>HYPERLINK("http://gitlab.osmosys.co/incident-reporter/incident-reporter-angular-portal", "OQSHA Portal")</f>
        <v/>
      </c>
      <c r="F3257">
        <f>HYPERLINK("http://gitlab.osmosys.co/incident-reporter/incident-reporter-angular-portal/-/merge_requests/3681", "fix: handle email validation for contractor user checklist")</f>
        <v/>
      </c>
      <c r="G3257" t="inlineStr">
        <is>
          <t>fix/email-validation</t>
        </is>
      </c>
      <c r="H3257" t="inlineStr">
        <is>
          <t>sprint-19</t>
        </is>
      </c>
      <c r="I3257" t="inlineStr">
        <is>
          <t>opened</t>
        </is>
      </c>
      <c r="J3257" t="inlineStr">
        <is>
          <t>960e4a68432836c9fd997ed4c91c47bcc07f8e07</t>
        </is>
      </c>
      <c r="K3257">
        <f>HYPERLINK("http://gitlab.osmosys.co/incident-reporter/incident-reporter-angular-portal/-/merge_requests/3681#note_246306", "Get it from another property dedicated to Work permit. In future, if we were to make changes in this label thinking that it affects in the Incident, but sharing of label like this may bring unnoticed and likely unwelcomed changes in permit to work also.")</f>
        <v/>
      </c>
      <c r="L3257" t="inlineStr">
        <is>
          <t>2025-08-02 15:37:44.296 IST</t>
        </is>
      </c>
      <c r="M3257" t="inlineStr">
        <is>
          <t>Sameer Shaik</t>
        </is>
      </c>
      <c r="N3257" t="inlineStr">
        <is>
          <t>Yes</t>
        </is>
      </c>
      <c r="O3257" t="inlineStr">
        <is>
          <t>Yes</t>
        </is>
      </c>
      <c r="P3257" t="inlineStr">
        <is>
          <t>Soundariya B</t>
        </is>
      </c>
      <c r="Q3257" t="inlineStr">
        <is>
          <t>Bad</t>
        </is>
      </c>
    </row>
    <row r="3258">
      <c r="A3258" t="inlineStr">
        <is>
          <t>sayan.mondal</t>
        </is>
      </c>
      <c r="B3258" t="inlineStr">
        <is>
          <t>Sayan Mondal</t>
        </is>
      </c>
      <c r="C3258" t="inlineStr">
        <is>
          <t>sayan.m@osmosys.co</t>
        </is>
      </c>
      <c r="D3258" t="inlineStr">
        <is>
          <t>incident-reporter</t>
        </is>
      </c>
      <c r="E3258">
        <f>HYPERLINK("http://gitlab.osmosys.co/incident-reporter/incident-reporter-angular-portal", "OQSHA Portal")</f>
        <v/>
      </c>
      <c r="F3258">
        <f>HYPERLINK("http://gitlab.osmosys.co/incident-reporter/incident-reporter-angular-portal/-/merge_requests/3681", "fix: handle email validation for contractor user checklist")</f>
        <v/>
      </c>
      <c r="G3258" t="inlineStr">
        <is>
          <t>fix/email-validation</t>
        </is>
      </c>
      <c r="H3258" t="inlineStr">
        <is>
          <t>sprint-19</t>
        </is>
      </c>
      <c r="I3258" t="inlineStr">
        <is>
          <t>opened</t>
        </is>
      </c>
      <c r="J3258" t="inlineStr">
        <is>
          <t>1fb20ce6bcdb06eee5b23c50955a9838065c9ba2</t>
        </is>
      </c>
      <c r="K3258">
        <f>HYPERLINK("http://gitlab.osmosys.co/incident-reporter/incident-reporter-angular-portal/-/merge_requests/3681#note_245383", "Can you get the error message from 'LABELS.WORK_PERMIT.ERROR_CODE'?")</f>
        <v/>
      </c>
      <c r="L3258" t="inlineStr">
        <is>
          <t>2025-08-01 14:27:19.847 IST</t>
        </is>
      </c>
      <c r="M3258" t="inlineStr">
        <is>
          <t>Soundariya B</t>
        </is>
      </c>
      <c r="N3258" t="inlineStr">
        <is>
          <t>Yes</t>
        </is>
      </c>
      <c r="O3258" t="inlineStr">
        <is>
          <t>Yes</t>
        </is>
      </c>
      <c r="P3258" t="inlineStr">
        <is>
          <t>Soundariya B</t>
        </is>
      </c>
      <c r="Q3258" t="inlineStr">
        <is>
          <t>Bad</t>
        </is>
      </c>
    </row>
    <row r="3259">
      <c r="A3259" t="inlineStr">
        <is>
          <t>sayan.mondal</t>
        </is>
      </c>
      <c r="B3259" t="inlineStr">
        <is>
          <t>Sayan Mondal</t>
        </is>
      </c>
      <c r="C3259" t="inlineStr">
        <is>
          <t>sayan.m@osmosys.co</t>
        </is>
      </c>
      <c r="D3259" t="inlineStr">
        <is>
          <t>incident-reporter</t>
        </is>
      </c>
      <c r="E3259">
        <f>HYPERLINK("http://gitlab.osmosys.co/incident-reporter/incident-reporter-angular-portal", "OQSHA Portal")</f>
        <v/>
      </c>
      <c r="F3259">
        <f>HYPERLINK("http://gitlab.osmosys.co/incident-reporter/incident-reporter-angular-portal/-/merge_requests/3681", "fix: handle email validation for contractor user checklist")</f>
        <v/>
      </c>
      <c r="G3259" t="inlineStr">
        <is>
          <t>fix/email-validation</t>
        </is>
      </c>
      <c r="H3259" t="inlineStr">
        <is>
          <t>sprint-19</t>
        </is>
      </c>
      <c r="I3259" t="inlineStr">
        <is>
          <t>opened</t>
        </is>
      </c>
      <c r="J3259" t="inlineStr">
        <is>
          <t>1fb20ce6bcdb06eee5b23c50955a9838065c9ba2</t>
        </is>
      </c>
      <c r="K3259">
        <f>HYPERLINK("http://gitlab.osmosys.co/incident-reporter/incident-reporter-angular-portal/-/merge_requests/3681#note_245413", "Why to add another property when it is already present and have to keep same message")</f>
        <v/>
      </c>
      <c r="L3259" t="inlineStr">
        <is>
          <t>2025-08-01 14:45:24.579 IST</t>
        </is>
      </c>
      <c r="M3259" t="inlineStr">
        <is>
          <t>Sayan Mondal</t>
        </is>
      </c>
      <c r="N3259" t="inlineStr">
        <is>
          <t>No</t>
        </is>
      </c>
      <c r="O3259" t="inlineStr">
        <is>
          <t>Yes</t>
        </is>
      </c>
      <c r="P3259" t="inlineStr">
        <is>
          <t>Soundariya B</t>
        </is>
      </c>
      <c r="Q3259" t="inlineStr">
        <is>
          <t>Bad</t>
        </is>
      </c>
    </row>
    <row r="3260">
      <c r="A3260" t="inlineStr">
        <is>
          <t>sayan.mondal</t>
        </is>
      </c>
      <c r="B3260" t="inlineStr">
        <is>
          <t>Sayan Mondal</t>
        </is>
      </c>
      <c r="C3260" t="inlineStr">
        <is>
          <t>sayan.m@osmosys.co</t>
        </is>
      </c>
      <c r="D3260" t="inlineStr">
        <is>
          <t>incident-reporter</t>
        </is>
      </c>
      <c r="E3260">
        <f>HYPERLINK("http://gitlab.osmosys.co/incident-reporter/incident-reporter-angular-portal", "OQSHA Portal")</f>
        <v/>
      </c>
      <c r="F3260">
        <f>HYPERLINK("http://gitlab.osmosys.co/incident-reporter/incident-reporter-angular-portal/-/merge_requests/3681", "fix: handle email validation for contractor user checklist")</f>
        <v/>
      </c>
      <c r="G3260" t="inlineStr">
        <is>
          <t>fix/email-validation</t>
        </is>
      </c>
      <c r="H3260" t="inlineStr">
        <is>
          <t>sprint-19</t>
        </is>
      </c>
      <c r="I3260" t="inlineStr">
        <is>
          <t>opened</t>
        </is>
      </c>
      <c r="J3260" t="inlineStr">
        <is>
          <t>1fb20ce6bcdb06eee5b23c50955a9838065c9ba2</t>
        </is>
      </c>
      <c r="K3260">
        <f>HYPERLINK("http://gitlab.osmosys.co/incident-reporter/incident-reporter-angular-portal/-/merge_requests/3681#note_245951", "Now in all PRs we are asking to get the labels from the respective module object labels which maintain the clean code and can be able to change it easily if required so please add it as Sameer only recommended these kind of changes.")</f>
        <v/>
      </c>
      <c r="L3260" t="inlineStr">
        <is>
          <t>2025-08-02 03:27:18.273 IST</t>
        </is>
      </c>
      <c r="M3260" t="inlineStr">
        <is>
          <t>Soundariya B</t>
        </is>
      </c>
      <c r="N3260" t="inlineStr">
        <is>
          <t>Yes</t>
        </is>
      </c>
      <c r="O3260" t="inlineStr">
        <is>
          <t>Yes</t>
        </is>
      </c>
      <c r="P3260" t="inlineStr">
        <is>
          <t>Soundariya B</t>
        </is>
      </c>
      <c r="Q3260" t="inlineStr">
        <is>
          <t>Bad</t>
        </is>
      </c>
    </row>
    <row r="3261">
      <c r="A3261" t="inlineStr">
        <is>
          <t>sayan.mondal</t>
        </is>
      </c>
      <c r="B3261" t="inlineStr">
        <is>
          <t>Sayan Mondal</t>
        </is>
      </c>
      <c r="C3261" t="inlineStr">
        <is>
          <t>sayan.m@osmosys.co</t>
        </is>
      </c>
      <c r="D3261" t="inlineStr">
        <is>
          <t>incident-reporter</t>
        </is>
      </c>
      <c r="E3261">
        <f>HYPERLINK("http://gitlab.osmosys.co/incident-reporter/incident-reporter-angular-portal", "OQSHA Portal")</f>
        <v/>
      </c>
      <c r="F3261">
        <f>HYPERLINK("http://gitlab.osmosys.co/incident-reporter/incident-reporter-angular-portal/-/merge_requests/3681", "fix: handle email validation for contractor user checklist")</f>
        <v/>
      </c>
      <c r="G3261" t="inlineStr">
        <is>
          <t>fix/email-validation</t>
        </is>
      </c>
      <c r="H3261" t="inlineStr">
        <is>
          <t>sprint-19</t>
        </is>
      </c>
      <c r="I3261" t="inlineStr">
        <is>
          <t>opened</t>
        </is>
      </c>
      <c r="J3261" t="inlineStr">
        <is>
          <t>1fb20ce6bcdb06eee5b23c50955a9838065c9ba2</t>
        </is>
      </c>
      <c r="K3261">
        <f>HYPERLINK("http://gitlab.osmosys.co/incident-reporter/incident-reporter-angular-portal/-/merge_requests/3681#note_245964", "But when it is already there why we need to add it again, if required will talk to @sameer ?")</f>
        <v/>
      </c>
      <c r="L3261" t="inlineStr">
        <is>
          <t>2025-08-02 03:40:51.404 IST</t>
        </is>
      </c>
      <c r="M3261" t="inlineStr">
        <is>
          <t>Sayan Mondal</t>
        </is>
      </c>
      <c r="N3261" t="inlineStr">
        <is>
          <t>No</t>
        </is>
      </c>
      <c r="O3261" t="inlineStr">
        <is>
          <t>Yes</t>
        </is>
      </c>
      <c r="P3261" t="inlineStr">
        <is>
          <t>Soundariya B</t>
        </is>
      </c>
      <c r="Q3261" t="inlineStr">
        <is>
          <t>Bad</t>
        </is>
      </c>
    </row>
    <row r="3262">
      <c r="A3262" t="inlineStr">
        <is>
          <t>sayan.mondal</t>
        </is>
      </c>
      <c r="B3262" t="inlineStr">
        <is>
          <t>Sayan Mondal</t>
        </is>
      </c>
      <c r="C3262" t="inlineStr">
        <is>
          <t>sayan.m@osmosys.co</t>
        </is>
      </c>
      <c r="D3262" t="inlineStr">
        <is>
          <t>incident-reporter</t>
        </is>
      </c>
      <c r="E3262">
        <f>HYPERLINK("http://gitlab.osmosys.co/incident-reporter/incident-reporter-angular-portal", "OQSHA Portal")</f>
        <v/>
      </c>
      <c r="F3262">
        <f>HYPERLINK("http://gitlab.osmosys.co/incident-reporter/incident-reporter-angular-portal/-/merge_requests/3681", "fix: handle email validation for contractor user checklist")</f>
        <v/>
      </c>
      <c r="G3262" t="inlineStr">
        <is>
          <t>fix/email-validation</t>
        </is>
      </c>
      <c r="H3262" t="inlineStr">
        <is>
          <t>sprint-19</t>
        </is>
      </c>
      <c r="I3262" t="inlineStr">
        <is>
          <t>opened</t>
        </is>
      </c>
      <c r="J3262" t="inlineStr">
        <is>
          <t>1fb20ce6bcdb06eee5b23c50955a9838065c9ba2</t>
        </is>
      </c>
      <c r="K3262">
        <f>HYPERLINK("http://gitlab.osmosys.co/incident-reporter/incident-reporter-angular-portal/-/merge_requests/3681#note_245967", "Ok please check with him, I saw in one of the PR he raised the thread for this")</f>
        <v/>
      </c>
      <c r="L3262" t="inlineStr">
        <is>
          <t>2025-08-02 03:56:03.458 IST</t>
        </is>
      </c>
      <c r="M3262" t="inlineStr">
        <is>
          <t>Soundariya B</t>
        </is>
      </c>
      <c r="N3262" t="inlineStr">
        <is>
          <t>Yes</t>
        </is>
      </c>
      <c r="O3262" t="inlineStr">
        <is>
          <t>Yes</t>
        </is>
      </c>
      <c r="P3262" t="inlineStr">
        <is>
          <t>Soundariya B</t>
        </is>
      </c>
      <c r="Q3262" t="inlineStr">
        <is>
          <t>Bad</t>
        </is>
      </c>
    </row>
    <row r="3263">
      <c r="A3263" t="inlineStr">
        <is>
          <t>sayan.mondal</t>
        </is>
      </c>
      <c r="B3263" t="inlineStr">
        <is>
          <t>Sayan Mondal</t>
        </is>
      </c>
      <c r="C3263" t="inlineStr">
        <is>
          <t>sayan.m@osmosys.co</t>
        </is>
      </c>
      <c r="D3263" t="inlineStr">
        <is>
          <t>incident-reporter</t>
        </is>
      </c>
      <c r="E3263">
        <f>HYPERLINK("http://gitlab.osmosys.co/incident-reporter/incident-reporter-angular-portal", "OQSHA Portal")</f>
        <v/>
      </c>
      <c r="F3263">
        <f>HYPERLINK("http://gitlab.osmosys.co/incident-reporter/incident-reporter-angular-portal/-/merge_requests/3681", "fix: handle email validation for contractor user checklist")</f>
        <v/>
      </c>
      <c r="G3263" t="inlineStr">
        <is>
          <t>fix/email-validation</t>
        </is>
      </c>
      <c r="H3263" t="inlineStr">
        <is>
          <t>sprint-19</t>
        </is>
      </c>
      <c r="I3263" t="inlineStr">
        <is>
          <t>opened</t>
        </is>
      </c>
      <c r="J3263" t="inlineStr">
        <is>
          <t>1fb20ce6bcdb06eee5b23c50955a9838065c9ba2</t>
        </is>
      </c>
      <c r="K3263">
        <f>HYPERLINK("http://gitlab.osmosys.co/incident-reporter/incident-reporter-angular-portal/-/merge_requests/3681#note_246308", "Get it from another property dedicated to Work permit. In future, if we were to make changes in this label thinking that it affects in the Incident, but sharing of label like this may bring unnoticed and likely unwelcomed changes in permit to work also.")</f>
        <v/>
      </c>
      <c r="L3263" t="inlineStr">
        <is>
          <t>2025-08-02 15:38:03.505 IST</t>
        </is>
      </c>
      <c r="M3263" t="inlineStr">
        <is>
          <t>Sameer Shaik</t>
        </is>
      </c>
      <c r="N3263" t="inlineStr">
        <is>
          <t>Yes</t>
        </is>
      </c>
      <c r="O3263" t="inlineStr">
        <is>
          <t>Yes</t>
        </is>
      </c>
      <c r="P3263" t="inlineStr">
        <is>
          <t>Soundariya B</t>
        </is>
      </c>
      <c r="Q3263" t="inlineStr">
        <is>
          <t>Bad</t>
        </is>
      </c>
    </row>
    <row r="3264">
      <c r="A3264" t="inlineStr">
        <is>
          <t>sayan.mondal</t>
        </is>
      </c>
      <c r="B3264" t="inlineStr">
        <is>
          <t>Sayan Mondal</t>
        </is>
      </c>
      <c r="C3264" t="inlineStr">
        <is>
          <t>sayan.m@osmosys.co</t>
        </is>
      </c>
      <c r="D3264" t="inlineStr">
        <is>
          <t>incident-reporter</t>
        </is>
      </c>
      <c r="E3264">
        <f>HYPERLINK("http://gitlab.osmosys.co/incident-reporter/incident-reporter-angular-portal", "OQSHA Portal")</f>
        <v/>
      </c>
      <c r="F3264">
        <f>HYPERLINK("http://gitlab.osmosys.co/incident-reporter/incident-reporter-angular-portal/-/merge_requests/3681", "fix: handle email validation for contractor user checklist")</f>
        <v/>
      </c>
      <c r="G3264" t="inlineStr">
        <is>
          <t>fix/email-validation</t>
        </is>
      </c>
      <c r="H3264" t="inlineStr">
        <is>
          <t>sprint-19</t>
        </is>
      </c>
      <c r="I3264" t="inlineStr">
        <is>
          <t>opened</t>
        </is>
      </c>
      <c r="J3264" t="inlineStr">
        <is>
          <t>eb6f2149b25f584139d084be7bae6942cbf36b65</t>
        </is>
      </c>
      <c r="K3264">
        <f>HYPERLINK("http://gitlab.osmosys.co/incident-reporter/incident-reporter-angular-portal/-/merge_requests/3681#note_245384", "Can you add this pattern and validation check to work-permit-authorization page for email field?")</f>
        <v/>
      </c>
      <c r="L3264" t="inlineStr">
        <is>
          <t>2025-08-01 14:27:19.898 IST</t>
        </is>
      </c>
      <c r="M3264" t="inlineStr">
        <is>
          <t>Soundariya B</t>
        </is>
      </c>
      <c r="N3264" t="inlineStr">
        <is>
          <t>Yes</t>
        </is>
      </c>
      <c r="O3264" t="inlineStr">
        <is>
          <t>Yes</t>
        </is>
      </c>
      <c r="P3264" t="inlineStr">
        <is>
          <t>Soundariya B</t>
        </is>
      </c>
      <c r="Q3264" t="inlineStr">
        <is>
          <t>Bad</t>
        </is>
      </c>
    </row>
    <row r="3265">
      <c r="A3265" t="inlineStr">
        <is>
          <t>sayan.mondal</t>
        </is>
      </c>
      <c r="B3265" t="inlineStr">
        <is>
          <t>Sayan Mondal</t>
        </is>
      </c>
      <c r="C3265" t="inlineStr">
        <is>
          <t>sayan.m@osmosys.co</t>
        </is>
      </c>
      <c r="D3265" t="inlineStr">
        <is>
          <t>incident-reporter</t>
        </is>
      </c>
      <c r="E3265">
        <f>HYPERLINK("http://gitlab.osmosys.co/incident-reporter/incident-reporter-angular-portal", "OQSHA Portal")</f>
        <v/>
      </c>
      <c r="F3265">
        <f>HYPERLINK("http://gitlab.osmosys.co/incident-reporter/incident-reporter-angular-portal/-/merge_requests/3681", "fix: handle email validation for contractor user checklist")</f>
        <v/>
      </c>
      <c r="G3265" t="inlineStr">
        <is>
          <t>fix/email-validation</t>
        </is>
      </c>
      <c r="H3265" t="inlineStr">
        <is>
          <t>sprint-19</t>
        </is>
      </c>
      <c r="I3265" t="inlineStr">
        <is>
          <t>opened</t>
        </is>
      </c>
      <c r="J3265" t="inlineStr">
        <is>
          <t>eb6f2149b25f584139d084be7bae6942cbf36b65</t>
        </is>
      </c>
      <c r="K3265">
        <f>HYPERLINK("http://gitlab.osmosys.co/incident-reporter/incident-reporter-angular-portal/-/merge_requests/3681#note_245412", "We don't have any email field in authorization page.")</f>
        <v/>
      </c>
      <c r="L3265" t="inlineStr">
        <is>
          <t>2025-08-01 14:44:50.802 IST</t>
        </is>
      </c>
      <c r="M3265" t="inlineStr">
        <is>
          <t>Sayan Mondal</t>
        </is>
      </c>
      <c r="N3265" t="inlineStr">
        <is>
          <t>No</t>
        </is>
      </c>
      <c r="O3265" t="inlineStr">
        <is>
          <t>Yes</t>
        </is>
      </c>
      <c r="P3265" t="inlineStr">
        <is>
          <t>Soundariya B</t>
        </is>
      </c>
      <c r="Q3265" t="inlineStr">
        <is>
          <t>Bad</t>
        </is>
      </c>
    </row>
    <row r="3266">
      <c r="A3266" t="inlineStr">
        <is>
          <t>sayan.mondal</t>
        </is>
      </c>
      <c r="B3266" t="inlineStr">
        <is>
          <t>Sayan Mondal</t>
        </is>
      </c>
      <c r="C3266" t="inlineStr">
        <is>
          <t>sayan.m@osmosys.co</t>
        </is>
      </c>
      <c r="D3266" t="inlineStr">
        <is>
          <t>incident-reporter</t>
        </is>
      </c>
      <c r="E3266">
        <f>HYPERLINK("http://gitlab.osmosys.co/incident-reporter/incident-reporter-angular-portal", "OQSHA Portal")</f>
        <v/>
      </c>
      <c r="F3266">
        <f>HYPERLINK("http://gitlab.osmosys.co/incident-reporter/incident-reporter-angular-portal/-/merge_requests/3681", "fix: handle email validation for contractor user checklist")</f>
        <v/>
      </c>
      <c r="G3266" t="inlineStr">
        <is>
          <t>fix/email-validation</t>
        </is>
      </c>
      <c r="H3266" t="inlineStr">
        <is>
          <t>sprint-19</t>
        </is>
      </c>
      <c r="I3266" t="inlineStr">
        <is>
          <t>opened</t>
        </is>
      </c>
      <c r="J3266" t="inlineStr">
        <is>
          <t>eb6f2149b25f584139d084be7bae6942cbf36b65</t>
        </is>
      </c>
      <c r="K3266">
        <f>HYPERLINK("http://gitlab.osmosys.co/incident-reporter/incident-reporter-angular-portal/-/merge_requests/3681#note_245952", "Then why the email field validation add in ts file
![image.png](/uploads/33b54bee430ac3b03fc70f16a16c8c8a/image.png)")</f>
        <v/>
      </c>
      <c r="L3266" t="inlineStr">
        <is>
          <t>2025-08-02 03:28:22.054 IST</t>
        </is>
      </c>
      <c r="M3266" t="inlineStr">
        <is>
          <t>Soundariya B</t>
        </is>
      </c>
      <c r="N3266" t="inlineStr">
        <is>
          <t>Yes</t>
        </is>
      </c>
      <c r="O3266" t="inlineStr">
        <is>
          <t>Yes</t>
        </is>
      </c>
      <c r="P3266" t="inlineStr">
        <is>
          <t>Soundariya B</t>
        </is>
      </c>
      <c r="Q3266" t="inlineStr">
        <is>
          <t>Bad</t>
        </is>
      </c>
    </row>
    <row r="3267">
      <c r="A3267" t="inlineStr">
        <is>
          <t>sayan.mondal</t>
        </is>
      </c>
      <c r="B3267" t="inlineStr">
        <is>
          <t>Sayan Mondal</t>
        </is>
      </c>
      <c r="C3267" t="inlineStr">
        <is>
          <t>sayan.m@osmosys.co</t>
        </is>
      </c>
      <c r="D3267" t="inlineStr">
        <is>
          <t>incident-reporter</t>
        </is>
      </c>
      <c r="E3267">
        <f>HYPERLINK("http://gitlab.osmosys.co/incident-reporter/incident-reporter-angular-portal", "OQSHA Portal")</f>
        <v/>
      </c>
      <c r="F3267">
        <f>HYPERLINK("http://gitlab.osmosys.co/incident-reporter/incident-reporter-angular-portal/-/merge_requests/3681", "fix: handle email validation for contractor user checklist")</f>
        <v/>
      </c>
      <c r="G3267" t="inlineStr">
        <is>
          <t>fix/email-validation</t>
        </is>
      </c>
      <c r="H3267" t="inlineStr">
        <is>
          <t>sprint-19</t>
        </is>
      </c>
      <c r="I3267" t="inlineStr">
        <is>
          <t>opened</t>
        </is>
      </c>
      <c r="J3267" t="inlineStr">
        <is>
          <t>eb6f2149b25f584139d084be7bae6942cbf36b65</t>
        </is>
      </c>
      <c r="K3267">
        <f>HYPERLINK("http://gitlab.osmosys.co/incident-reporter/incident-reporter-angular-portal/-/merge_requests/3681#note_245955", "That is because we have create ptw function where we need to check, that is why it is added")</f>
        <v/>
      </c>
      <c r="L3267" t="inlineStr">
        <is>
          <t>2025-08-02 03:30:10.851 IST</t>
        </is>
      </c>
      <c r="M3267" t="inlineStr">
        <is>
          <t>Sayan Mondal</t>
        </is>
      </c>
      <c r="N3267" t="inlineStr">
        <is>
          <t>No</t>
        </is>
      </c>
      <c r="O3267" t="inlineStr">
        <is>
          <t>Yes</t>
        </is>
      </c>
      <c r="P3267" t="inlineStr">
        <is>
          <t>Soundariya B</t>
        </is>
      </c>
      <c r="Q3267" t="inlineStr">
        <is>
          <t>Bad</t>
        </is>
      </c>
    </row>
    <row r="3268">
      <c r="A3268" t="inlineStr">
        <is>
          <t>sayan.mondal</t>
        </is>
      </c>
      <c r="B3268" t="inlineStr">
        <is>
          <t>Sayan Mondal</t>
        </is>
      </c>
      <c r="C3268" t="inlineStr">
        <is>
          <t>sayan.m@osmosys.co</t>
        </is>
      </c>
      <c r="D3268" t="inlineStr">
        <is>
          <t>incident-reporter</t>
        </is>
      </c>
      <c r="E3268">
        <f>HYPERLINK("http://gitlab.osmosys.co/incident-reporter/incident-reporter-angular-portal", "OQSHA Portal")</f>
        <v/>
      </c>
      <c r="F3268">
        <f>HYPERLINK("http://gitlab.osmosys.co/incident-reporter/incident-reporter-angular-portal/-/merge_requests/3678", "fix: add optional chaining data binding")</f>
        <v/>
      </c>
      <c r="G3268" t="inlineStr">
        <is>
          <t>fix/ticket-bug</t>
        </is>
      </c>
      <c r="H3268" t="inlineStr">
        <is>
          <t>sprint-18</t>
        </is>
      </c>
      <c r="I3268" t="inlineStr">
        <is>
          <t>merged</t>
        </is>
      </c>
      <c r="J3268" t="inlineStr"/>
      <c r="K3268" t="inlineStr"/>
      <c r="L3268" t="inlineStr"/>
      <c r="M3268" t="inlineStr"/>
      <c r="N3268" t="inlineStr"/>
      <c r="O3268" t="inlineStr"/>
      <c r="P3268" t="inlineStr"/>
      <c r="Q3268" t="inlineStr"/>
    </row>
    <row r="3269">
      <c r="A3269" t="inlineStr">
        <is>
          <t>sayan.mondal</t>
        </is>
      </c>
      <c r="B3269" t="inlineStr">
        <is>
          <t>Sayan Mondal</t>
        </is>
      </c>
      <c r="C3269" t="inlineStr">
        <is>
          <t>sayan.m@osmosys.co</t>
        </is>
      </c>
      <c r="D3269" t="inlineStr">
        <is>
          <t>incident-reporter</t>
        </is>
      </c>
      <c r="E3269">
        <f>HYPERLINK("http://gitlab.osmosys.co/incident-reporter/incident-reporter-angular-portal", "OQSHA Portal")</f>
        <v/>
      </c>
      <c r="F3269">
        <f>HYPERLINK("http://gitlab.osmosys.co/incident-reporter/incident-reporter-angular-portal/-/merge_requests/3669", "feat: add changes for responsiveness of the pillars")</f>
        <v/>
      </c>
      <c r="G3269" t="inlineStr">
        <is>
          <t>feat/library-pillars</t>
        </is>
      </c>
      <c r="H3269" t="inlineStr">
        <is>
          <t>sprint-18</t>
        </is>
      </c>
      <c r="I3269" t="inlineStr">
        <is>
          <t>merged</t>
        </is>
      </c>
      <c r="J3269" t="inlineStr">
        <is>
          <t>d6bb9a19f5ba088bb5997efc153c83aa0b4152aa</t>
        </is>
      </c>
      <c r="K3269">
        <f>HYPERLINK("http://gitlab.osmosys.co/incident-reporter/incident-reporter-angular-portal/-/merge_requests/3669#note_244519", "Linting pipeline is failing")</f>
        <v/>
      </c>
      <c r="L3269" t="inlineStr">
        <is>
          <t>2025-07-30 22:08:24.664 IST</t>
        </is>
      </c>
      <c r="M3269" t="inlineStr">
        <is>
          <t>Soundariya B</t>
        </is>
      </c>
      <c r="N3269" t="inlineStr">
        <is>
          <t>Yes</t>
        </is>
      </c>
      <c r="O3269" t="inlineStr">
        <is>
          <t>Yes</t>
        </is>
      </c>
      <c r="P3269" t="inlineStr">
        <is>
          <t>Sayan Mondal</t>
        </is>
      </c>
      <c r="Q3269" t="inlineStr">
        <is>
          <t>Bad</t>
        </is>
      </c>
    </row>
    <row r="3270">
      <c r="A3270" t="inlineStr">
        <is>
          <t>sayan.mondal</t>
        </is>
      </c>
      <c r="B3270" t="inlineStr">
        <is>
          <t>Sayan Mondal</t>
        </is>
      </c>
      <c r="C3270" t="inlineStr">
        <is>
          <t>sayan.m@osmosys.co</t>
        </is>
      </c>
      <c r="D3270" t="inlineStr">
        <is>
          <t>incident-reporter</t>
        </is>
      </c>
      <c r="E3270">
        <f>HYPERLINK("http://gitlab.osmosys.co/incident-reporter/incident-reporter-angular-portal", "OQSHA Portal")</f>
        <v/>
      </c>
      <c r="F3270">
        <f>HYPERLINK("http://gitlab.osmosys.co/incident-reporter/incident-reporter-angular-portal/-/merge_requests/3669", "feat: add changes for responsiveness of the pillars")</f>
        <v/>
      </c>
      <c r="G3270" t="inlineStr">
        <is>
          <t>feat/library-pillars</t>
        </is>
      </c>
      <c r="H3270" t="inlineStr">
        <is>
          <t>sprint-18</t>
        </is>
      </c>
      <c r="I3270" t="inlineStr">
        <is>
          <t>merged</t>
        </is>
      </c>
      <c r="J3270" t="inlineStr">
        <is>
          <t>d6bb9a19f5ba088bb5997efc153c83aa0b4152aa</t>
        </is>
      </c>
      <c r="K3270">
        <f>HYPERLINK("http://gitlab.osmosys.co/incident-reporter/incident-reporter-angular-portal/-/merge_requests/3669#note_244540", "![image](/uploads/37d17a2407260799716db0c3960b6e13/image.png){width=535 height=205}")</f>
        <v/>
      </c>
      <c r="L3270" t="inlineStr">
        <is>
          <t>2025-07-30 22:55:39.261 IST</t>
        </is>
      </c>
      <c r="M3270" t="inlineStr">
        <is>
          <t>Sayan Mondal</t>
        </is>
      </c>
      <c r="N3270" t="inlineStr">
        <is>
          <t>No</t>
        </is>
      </c>
      <c r="O3270" t="inlineStr">
        <is>
          <t>Yes</t>
        </is>
      </c>
      <c r="P3270" t="inlineStr">
        <is>
          <t>Sayan Mondal</t>
        </is>
      </c>
      <c r="Q3270" t="inlineStr">
        <is>
          <t>Bad</t>
        </is>
      </c>
    </row>
    <row r="3271">
      <c r="A3271" t="inlineStr">
        <is>
          <t>sayan.mondal</t>
        </is>
      </c>
      <c r="B3271" t="inlineStr">
        <is>
          <t>Sayan Mondal</t>
        </is>
      </c>
      <c r="C3271" t="inlineStr">
        <is>
          <t>sayan.m@osmosys.co</t>
        </is>
      </c>
      <c r="D3271" t="inlineStr">
        <is>
          <t>incident-reporter</t>
        </is>
      </c>
      <c r="E3271">
        <f>HYPERLINK("http://gitlab.osmosys.co/incident-reporter/incident-reporter-angular-portal", "OQSHA Portal")</f>
        <v/>
      </c>
      <c r="F3271">
        <f>HYPERLINK("http://gitlab.osmosys.co/incident-reporter/incident-reporter-angular-portal/-/merge_requests/3669", "feat: add changes for responsiveness of the pillars")</f>
        <v/>
      </c>
      <c r="G3271" t="inlineStr">
        <is>
          <t>feat/library-pillars</t>
        </is>
      </c>
      <c r="H3271" t="inlineStr">
        <is>
          <t>sprint-18</t>
        </is>
      </c>
      <c r="I3271" t="inlineStr">
        <is>
          <t>merged</t>
        </is>
      </c>
      <c r="J3271" t="inlineStr">
        <is>
          <t>7dc6af055bdc5544c3fe235d2cff48bdd9730f6a</t>
        </is>
      </c>
      <c r="K3271">
        <f>HYPERLINK("http://gitlab.osmosys.co/incident-reporter/incident-reporter-angular-portal/-/merge_requests/3669#note_244520", "Use hexa value")</f>
        <v/>
      </c>
      <c r="L3271" t="inlineStr">
        <is>
          <t>2025-07-30 22:08:24.735 IST</t>
        </is>
      </c>
      <c r="M3271" t="inlineStr">
        <is>
          <t>Soundariya B</t>
        </is>
      </c>
      <c r="N3271" t="inlineStr">
        <is>
          <t>Yes</t>
        </is>
      </c>
      <c r="O3271" t="inlineStr">
        <is>
          <t>Yes</t>
        </is>
      </c>
      <c r="P3271" t="inlineStr">
        <is>
          <t>Sayan Mondal</t>
        </is>
      </c>
      <c r="Q3271" t="inlineStr">
        <is>
          <t>Good</t>
        </is>
      </c>
    </row>
    <row r="3272">
      <c r="A3272" t="inlineStr">
        <is>
          <t>sayan.mondal</t>
        </is>
      </c>
      <c r="B3272" t="inlineStr">
        <is>
          <t>Sayan Mondal</t>
        </is>
      </c>
      <c r="C3272" t="inlineStr">
        <is>
          <t>sayan.m@osmosys.co</t>
        </is>
      </c>
      <c r="D3272" t="inlineStr">
        <is>
          <t>incident-reporter</t>
        </is>
      </c>
      <c r="E3272">
        <f>HYPERLINK("http://gitlab.osmosys.co/incident-reporter/incident-reporter-angular-portal", "OQSHA Portal")</f>
        <v/>
      </c>
      <c r="F3272">
        <f>HYPERLINK("http://gitlab.osmosys.co/incident-reporter/incident-reporter-angular-portal/-/merge_requests/3669", "feat: add changes for responsiveness of the pillars")</f>
        <v/>
      </c>
      <c r="G3272" t="inlineStr">
        <is>
          <t>feat/library-pillars</t>
        </is>
      </c>
      <c r="H3272" t="inlineStr">
        <is>
          <t>sprint-18</t>
        </is>
      </c>
      <c r="I3272" t="inlineStr">
        <is>
          <t>merged</t>
        </is>
      </c>
      <c r="J3272" t="inlineStr">
        <is>
          <t>7dc6af055bdc5544c3fe235d2cff48bdd9730f6a</t>
        </is>
      </c>
      <c r="K3272">
        <f>HYPERLINK("http://gitlab.osmosys.co/incident-reporter/incident-reporter-angular-portal/-/merge_requests/3669#note_244532", "changed")</f>
        <v/>
      </c>
      <c r="L3272" t="inlineStr">
        <is>
          <t>2025-07-30 22:37:36.758 IST</t>
        </is>
      </c>
      <c r="M3272" t="inlineStr">
        <is>
          <t>Sayan Mondal</t>
        </is>
      </c>
      <c r="N3272" t="inlineStr">
        <is>
          <t>No</t>
        </is>
      </c>
      <c r="O3272" t="inlineStr">
        <is>
          <t>Yes</t>
        </is>
      </c>
      <c r="P3272" t="inlineStr">
        <is>
          <t>Sayan Mondal</t>
        </is>
      </c>
      <c r="Q3272" t="inlineStr">
        <is>
          <t>Good</t>
        </is>
      </c>
    </row>
    <row r="3273">
      <c r="A3273" t="inlineStr">
        <is>
          <t>sayan.mondal</t>
        </is>
      </c>
      <c r="B3273" t="inlineStr">
        <is>
          <t>Sayan Mondal</t>
        </is>
      </c>
      <c r="C3273" t="inlineStr">
        <is>
          <t>sayan.m@osmosys.co</t>
        </is>
      </c>
      <c r="D3273" t="inlineStr">
        <is>
          <t>incident-reporter</t>
        </is>
      </c>
      <c r="E3273">
        <f>HYPERLINK("http://gitlab.osmosys.co/incident-reporter/incident-reporter-angular-portal", "OQSHA Portal")</f>
        <v/>
      </c>
      <c r="F3273">
        <f>HYPERLINK("http://gitlab.osmosys.co/incident-reporter/incident-reporter-angular-portal/-/merge_requests/3669", "feat: add changes for responsiveness of the pillars")</f>
        <v/>
      </c>
      <c r="G3273" t="inlineStr">
        <is>
          <t>feat/library-pillars</t>
        </is>
      </c>
      <c r="H3273" t="inlineStr">
        <is>
          <t>sprint-18</t>
        </is>
      </c>
      <c r="I3273" t="inlineStr">
        <is>
          <t>merged</t>
        </is>
      </c>
      <c r="J3273" t="inlineStr">
        <is>
          <t>64a607508cf9a62678e898f21e6f8eaa33f36914</t>
        </is>
      </c>
      <c r="K3273">
        <f>HYPERLINK("http://gitlab.osmosys.co/incident-reporter/incident-reporter-angular-portal/-/merge_requests/3669#note_244521", "Remove anyone as both css's are same")</f>
        <v/>
      </c>
      <c r="L3273" t="inlineStr">
        <is>
          <t>2025-07-30 22:08:24.791 IST</t>
        </is>
      </c>
      <c r="M3273" t="inlineStr">
        <is>
          <t>Soundariya B</t>
        </is>
      </c>
      <c r="N3273" t="inlineStr">
        <is>
          <t>Yes</t>
        </is>
      </c>
      <c r="O3273" t="inlineStr">
        <is>
          <t>Yes</t>
        </is>
      </c>
      <c r="P3273" t="inlineStr">
        <is>
          <t>Sayan Mondal</t>
        </is>
      </c>
      <c r="Q3273" t="inlineStr">
        <is>
          <t>Bad</t>
        </is>
      </c>
    </row>
    <row r="3274">
      <c r="A3274" t="inlineStr">
        <is>
          <t>sayan.mondal</t>
        </is>
      </c>
      <c r="B3274" t="inlineStr">
        <is>
          <t>Sayan Mondal</t>
        </is>
      </c>
      <c r="C3274" t="inlineStr">
        <is>
          <t>sayan.m@osmosys.co</t>
        </is>
      </c>
      <c r="D3274" t="inlineStr">
        <is>
          <t>incident-reporter</t>
        </is>
      </c>
      <c r="E3274">
        <f>HYPERLINK("http://gitlab.osmosys.co/incident-reporter/incident-reporter-angular-portal", "OQSHA Portal")</f>
        <v/>
      </c>
      <c r="F3274">
        <f>HYPERLINK("http://gitlab.osmosys.co/incident-reporter/incident-reporter-angular-portal/-/merge_requests/3669", "feat: add changes for responsiveness of the pillars")</f>
        <v/>
      </c>
      <c r="G3274" t="inlineStr">
        <is>
          <t>feat/library-pillars</t>
        </is>
      </c>
      <c r="H3274" t="inlineStr">
        <is>
          <t>sprint-18</t>
        </is>
      </c>
      <c r="I3274" t="inlineStr">
        <is>
          <t>merged</t>
        </is>
      </c>
      <c r="J3274" t="inlineStr">
        <is>
          <t>64a607508cf9a62678e898f21e6f8eaa33f36914</t>
        </is>
      </c>
      <c r="K3274">
        <f>HYPERLINK("http://gitlab.osmosys.co/incident-reporter/incident-reporter-angular-portal/-/merge_requests/3669#note_244531", "One will be border bottom changed that")</f>
        <v/>
      </c>
      <c r="L3274" t="inlineStr">
        <is>
          <t>2025-07-30 22:37:32.082 IST</t>
        </is>
      </c>
      <c r="M3274" t="inlineStr">
        <is>
          <t>Sayan Mondal</t>
        </is>
      </c>
      <c r="N3274" t="inlineStr">
        <is>
          <t>No</t>
        </is>
      </c>
      <c r="O3274" t="inlineStr">
        <is>
          <t>Yes</t>
        </is>
      </c>
      <c r="P3274" t="inlineStr">
        <is>
          <t>Sayan Mondal</t>
        </is>
      </c>
      <c r="Q3274" t="inlineStr">
        <is>
          <t>Bad</t>
        </is>
      </c>
    </row>
    <row r="3275">
      <c r="A3275" t="inlineStr">
        <is>
          <t>sayan.mondal</t>
        </is>
      </c>
      <c r="B3275" t="inlineStr">
        <is>
          <t>Sayan Mondal</t>
        </is>
      </c>
      <c r="C3275" t="inlineStr">
        <is>
          <t>sayan.m@osmosys.co</t>
        </is>
      </c>
      <c r="D3275" t="inlineStr">
        <is>
          <t>incident-reporter</t>
        </is>
      </c>
      <c r="E3275">
        <f>HYPERLINK("http://gitlab.osmosys.co/incident-reporter/incident-reporter-angular-portal", "OQSHA Portal")</f>
        <v/>
      </c>
      <c r="F3275">
        <f>HYPERLINK("http://gitlab.osmosys.co/incident-reporter/incident-reporter-angular-portal/-/merge_requests/3665", "fix: add fix for date and time in add-edit ptw")</f>
        <v/>
      </c>
      <c r="G3275" t="inlineStr">
        <is>
          <t>fix/ptw-date-time</t>
        </is>
      </c>
      <c r="H3275" t="inlineStr">
        <is>
          <t>sprint-18</t>
        </is>
      </c>
      <c r="I3275" t="inlineStr">
        <is>
          <t>merged</t>
        </is>
      </c>
      <c r="J3275" t="inlineStr"/>
      <c r="K3275" t="inlineStr"/>
      <c r="L3275" t="inlineStr"/>
      <c r="M3275" t="inlineStr"/>
      <c r="N3275" t="inlineStr"/>
      <c r="O3275" t="inlineStr"/>
      <c r="P3275" t="inlineStr"/>
      <c r="Q3275" t="inlineStr"/>
    </row>
    <row r="3276">
      <c r="A3276" t="inlineStr">
        <is>
          <t>sayan.mondal</t>
        </is>
      </c>
      <c r="B3276" t="inlineStr">
        <is>
          <t>Sayan Mondal</t>
        </is>
      </c>
      <c r="C3276" t="inlineStr">
        <is>
          <t>sayan.m@osmosys.co</t>
        </is>
      </c>
      <c r="D3276" t="inlineStr">
        <is>
          <t>incident-reporter</t>
        </is>
      </c>
      <c r="E3276">
        <f>HYPERLINK("http://gitlab.osmosys.co/incident-reporter/incident-reporter-angular-portal", "OQSHA Portal")</f>
        <v/>
      </c>
      <c r="F3276">
        <f>HYPERLINK("http://gitlab.osmosys.co/incident-reporter/incident-reporter-angular-portal/-/merge_requests/3661", "fix: remove dependency of date from ptw shift times")</f>
        <v/>
      </c>
      <c r="G3276" t="inlineStr">
        <is>
          <t>fix/ptw-shift</t>
        </is>
      </c>
      <c r="H3276" t="inlineStr">
        <is>
          <t>sprint-18</t>
        </is>
      </c>
      <c r="I3276" t="inlineStr">
        <is>
          <t>merged</t>
        </is>
      </c>
      <c r="J3276" t="inlineStr"/>
      <c r="K3276" t="inlineStr"/>
      <c r="L3276" t="inlineStr"/>
      <c r="M3276" t="inlineStr"/>
      <c r="N3276" t="inlineStr"/>
      <c r="O3276" t="inlineStr"/>
      <c r="P3276" t="inlineStr"/>
      <c r="Q3276" t="inlineStr"/>
    </row>
    <row r="3277">
      <c r="A3277" t="inlineStr">
        <is>
          <t>sayan.mondal</t>
        </is>
      </c>
      <c r="B3277" t="inlineStr">
        <is>
          <t>Sayan Mondal</t>
        </is>
      </c>
      <c r="C3277" t="inlineStr">
        <is>
          <t>sayan.m@osmosys.co</t>
        </is>
      </c>
      <c r="D3277" t="inlineStr">
        <is>
          <t>incident-reporter</t>
        </is>
      </c>
      <c r="E3277">
        <f>HYPERLINK("http://gitlab.osmosys.co/incident-reporter/incident-reporter-angular-portal", "OQSHA Portal")</f>
        <v/>
      </c>
      <c r="F3277">
        <f>HYPERLINK("http://gitlab.osmosys.co/incident-reporter/incident-reporter-angular-portal/-/merge_requests/3660", "fix: fix incorrect isonline flag value in create ptw")</f>
        <v/>
      </c>
      <c r="G3277" t="inlineStr">
        <is>
          <t>fix/ptw-manual</t>
        </is>
      </c>
      <c r="H3277" t="inlineStr">
        <is>
          <t>sprint-18</t>
        </is>
      </c>
      <c r="I3277" t="inlineStr">
        <is>
          <t>merged</t>
        </is>
      </c>
      <c r="J3277" t="inlineStr"/>
      <c r="K3277" t="inlineStr"/>
      <c r="L3277" t="inlineStr"/>
      <c r="M3277" t="inlineStr"/>
      <c r="N3277" t="inlineStr"/>
      <c r="O3277" t="inlineStr"/>
      <c r="P3277" t="inlineStr"/>
      <c r="Q3277" t="inlineStr"/>
    </row>
    <row r="3278">
      <c r="A3278" t="inlineStr">
        <is>
          <t>sayan.mondal</t>
        </is>
      </c>
      <c r="B3278" t="inlineStr">
        <is>
          <t>Sayan Mondal</t>
        </is>
      </c>
      <c r="C3278" t="inlineStr">
        <is>
          <t>sayan.m@osmosys.co</t>
        </is>
      </c>
      <c r="D3278" t="inlineStr">
        <is>
          <t>incident-reporter</t>
        </is>
      </c>
      <c r="E3278">
        <f>HYPERLINK("http://gitlab.osmosys.co/incident-reporter/incident-reporter-angular-portal", "OQSHA Portal")</f>
        <v/>
      </c>
      <c r="F3278">
        <f>HYPERLINK("http://gitlab.osmosys.co/incident-reporter/incident-reporter-angular-portal/-/merge_requests/3646", "feat: add button in ticket grid page based on flag")</f>
        <v/>
      </c>
      <c r="G3278" t="inlineStr">
        <is>
          <t>feat/pending-with-me</t>
        </is>
      </c>
      <c r="H3278" t="inlineStr">
        <is>
          <t>sprint-19</t>
        </is>
      </c>
      <c r="I3278" t="inlineStr">
        <is>
          <t>merged</t>
        </is>
      </c>
      <c r="J3278" t="inlineStr">
        <is>
          <t>603cf28d1dc9451e4c406cf47ade8977002617c9</t>
        </is>
      </c>
      <c r="K3278">
        <f>HYPERLINK("http://gitlab.osmosys.co/incident-reporter/incident-reporter-angular-portal/-/merge_requests/3646#note_245868", "The key from localstorage object")</f>
        <v/>
      </c>
      <c r="L3278" t="inlineStr">
        <is>
          <t>2025-08-01 20:25:35.998 IST</t>
        </is>
      </c>
      <c r="M3278" t="inlineStr">
        <is>
          <t>Soundariya B</t>
        </is>
      </c>
      <c r="N3278" t="inlineStr">
        <is>
          <t>Yes</t>
        </is>
      </c>
      <c r="O3278" t="inlineStr">
        <is>
          <t>Yes</t>
        </is>
      </c>
      <c r="P3278" t="inlineStr">
        <is>
          <t>Soundariya B</t>
        </is>
      </c>
      <c r="Q3278" t="inlineStr">
        <is>
          <t>Neutral</t>
        </is>
      </c>
    </row>
    <row r="3279">
      <c r="A3279" t="inlineStr">
        <is>
          <t>sayan.mondal</t>
        </is>
      </c>
      <c r="B3279" t="inlineStr">
        <is>
          <t>Sayan Mondal</t>
        </is>
      </c>
      <c r="C3279" t="inlineStr">
        <is>
          <t>sayan.m@osmosys.co</t>
        </is>
      </c>
      <c r="D3279" t="inlineStr">
        <is>
          <t>incident-reporter</t>
        </is>
      </c>
      <c r="E3279">
        <f>HYPERLINK("http://gitlab.osmosys.co/incident-reporter/incident-reporter-angular-portal", "OQSHA Portal")</f>
        <v/>
      </c>
      <c r="F3279">
        <f>HYPERLINK("http://gitlab.osmosys.co/incident-reporter/incident-reporter-angular-portal/-/merge_requests/3646", "feat: add button in ticket grid page based on flag")</f>
        <v/>
      </c>
      <c r="G3279" t="inlineStr">
        <is>
          <t>feat/pending-with-me</t>
        </is>
      </c>
      <c r="H3279" t="inlineStr">
        <is>
          <t>sprint-19</t>
        </is>
      </c>
      <c r="I3279" t="inlineStr">
        <is>
          <t>merged</t>
        </is>
      </c>
      <c r="J3279" t="inlineStr">
        <is>
          <t>30dbfaa7a454b144ff38e1b1048b478aab5d8893</t>
        </is>
      </c>
      <c r="K3279">
        <f>HYPERLINK("http://gitlab.osmosys.co/incident-reporter/incident-reporter-angular-portal/-/merge_requests/3646#note_245869", "It should be roleNames as mapping for roleName")</f>
        <v/>
      </c>
      <c r="L3279" t="inlineStr">
        <is>
          <t>2025-08-01 20:25:36.077 IST</t>
        </is>
      </c>
      <c r="M3279" t="inlineStr">
        <is>
          <t>Soundariya B</t>
        </is>
      </c>
      <c r="N3279" t="inlineStr">
        <is>
          <t>Yes</t>
        </is>
      </c>
      <c r="O3279" t="inlineStr">
        <is>
          <t>Yes</t>
        </is>
      </c>
      <c r="P3279" t="inlineStr">
        <is>
          <t>Soundariya B</t>
        </is>
      </c>
      <c r="Q3279" t="inlineStr">
        <is>
          <t>Neutral</t>
        </is>
      </c>
    </row>
    <row r="3280">
      <c r="A3280" t="inlineStr">
        <is>
          <t>sayan.mondal</t>
        </is>
      </c>
      <c r="B3280" t="inlineStr">
        <is>
          <t>Sayan Mondal</t>
        </is>
      </c>
      <c r="C3280" t="inlineStr">
        <is>
          <t>sayan.m@osmosys.co</t>
        </is>
      </c>
      <c r="D3280" t="inlineStr">
        <is>
          <t>incident-reporter</t>
        </is>
      </c>
      <c r="E3280">
        <f>HYPERLINK("http://gitlab.osmosys.co/incident-reporter/incident-reporter-angular-portal", "OQSHA Portal")</f>
        <v/>
      </c>
      <c r="F3280">
        <f>HYPERLINK("http://gitlab.osmosys.co/incident-reporter/incident-reporter-angular-portal/-/merge_requests/3646", "feat: add button in ticket grid page based on flag")</f>
        <v/>
      </c>
      <c r="G3280" t="inlineStr">
        <is>
          <t>feat/pending-with-me</t>
        </is>
      </c>
      <c r="H3280" t="inlineStr">
        <is>
          <t>sprint-19</t>
        </is>
      </c>
      <c r="I3280" t="inlineStr">
        <is>
          <t>merged</t>
        </is>
      </c>
      <c r="J3280" t="inlineStr">
        <is>
          <t>de9bf65680e1514dadfb915d2cbd634399f4b5b6</t>
        </is>
      </c>
      <c r="K3280">
        <f>HYPERLINK("http://gitlab.osmosys.co/incident-reporter/incident-reporter-angular-portal/-/merge_requests/3646#note_245870", "For localStorage we are using local storage service as like other modules
The key from localstorage object")</f>
        <v/>
      </c>
      <c r="L3280" t="inlineStr">
        <is>
          <t>2025-08-01 20:25:36.137 IST</t>
        </is>
      </c>
      <c r="M3280" t="inlineStr">
        <is>
          <t>Soundariya B</t>
        </is>
      </c>
      <c r="N3280" t="inlineStr">
        <is>
          <t>Yes</t>
        </is>
      </c>
      <c r="O3280" t="inlineStr">
        <is>
          <t>Yes</t>
        </is>
      </c>
      <c r="P3280" t="inlineStr">
        <is>
          <t>Soundariya B</t>
        </is>
      </c>
      <c r="Q3280" t="inlineStr">
        <is>
          <t>Neutral</t>
        </is>
      </c>
    </row>
    <row r="3281">
      <c r="A3281" t="inlineStr">
        <is>
          <t>sayan.mondal</t>
        </is>
      </c>
      <c r="B3281" t="inlineStr">
        <is>
          <t>Sayan Mondal</t>
        </is>
      </c>
      <c r="C3281" t="inlineStr">
        <is>
          <t>sayan.m@osmosys.co</t>
        </is>
      </c>
      <c r="D3281" t="inlineStr">
        <is>
          <t>incident-reporter</t>
        </is>
      </c>
      <c r="E3281">
        <f>HYPERLINK("http://gitlab.osmosys.co/incident-reporter/incident-reporter-angular-portal", "OQSHA Portal")</f>
        <v/>
      </c>
      <c r="F3281">
        <f>HYPERLINK("http://gitlab.osmosys.co/incident-reporter/incident-reporter-angular-portal/-/merge_requests/3646", "feat: add button in ticket grid page based on flag")</f>
        <v/>
      </c>
      <c r="G3281" t="inlineStr">
        <is>
          <t>feat/pending-with-me</t>
        </is>
      </c>
      <c r="H3281" t="inlineStr">
        <is>
          <t>sprint-19</t>
        </is>
      </c>
      <c r="I3281" t="inlineStr">
        <is>
          <t>merged</t>
        </is>
      </c>
      <c r="J3281" t="inlineStr">
        <is>
          <t>7b8f82b1173d8a95cc8b4ae97e6d1a23fe70b9bb</t>
        </is>
      </c>
      <c r="K3281">
        <f>HYPERLINK("http://gitlab.osmosys.co/incident-reporter/incident-reporter-angular-portal/-/merge_requests/3646#note_245871", "```
const statusMap = {
  siteEHS: [
    { Name: this.INCIDENT_STATUS.OPEN },
    { Name: this.INCIDENT_STATUS.RESOLVED },
  ],
  ehsHead: [{ Name: this.INCIDENT_STATUS.VALIDATED_1 }],
  default: [{ Name: this.INCIDENT_STATUS.ASSIGNED }],
};
const assignedTo = this.isUserSiteEHS || this.isUserEHSHead ? [] : [currentUserId];
this.currentFilters = {
  ...this.currentFilters,
  selectedStatus: this.isUserSiteEHS
    ? statusMap.siteEHS
    : this.isUserEHSHead
    ? statusMap.ehsHead
    : statusMap.default,
  assignedTo,
};
```
- Removed repetition of this.currentFilters = { ... }.
- Centralized status logic in a statusMap for easier updates.
- Simplified assignedTo logic with a single conditional.
- Improved readability with clear separation of concerns.")</f>
        <v/>
      </c>
      <c r="L3281" t="inlineStr">
        <is>
          <t>2025-08-01 20:25:36.194 IST</t>
        </is>
      </c>
      <c r="M3281" t="inlineStr">
        <is>
          <t>Soundariya B</t>
        </is>
      </c>
      <c r="N3281" t="inlineStr">
        <is>
          <t>Yes</t>
        </is>
      </c>
      <c r="O3281" t="inlineStr">
        <is>
          <t>Yes</t>
        </is>
      </c>
      <c r="P3281" t="inlineStr">
        <is>
          <t>Soundariya B</t>
        </is>
      </c>
      <c r="Q3281" t="inlineStr">
        <is>
          <t>Bad</t>
        </is>
      </c>
    </row>
    <row r="3282">
      <c r="A3282" t="inlineStr">
        <is>
          <t>sayan.mondal</t>
        </is>
      </c>
      <c r="B3282" t="inlineStr">
        <is>
          <t>Sayan Mondal</t>
        </is>
      </c>
      <c r="C3282" t="inlineStr">
        <is>
          <t>sayan.m@osmosys.co</t>
        </is>
      </c>
      <c r="D3282" t="inlineStr">
        <is>
          <t>incident-reporter</t>
        </is>
      </c>
      <c r="E3282">
        <f>HYPERLINK("http://gitlab.osmosys.co/incident-reporter/incident-reporter-angular-portal", "OQSHA Portal")</f>
        <v/>
      </c>
      <c r="F3282">
        <f>HYPERLINK("http://gitlab.osmosys.co/incident-reporter/incident-reporter-angular-portal/-/merge_requests/3646", "feat: add button in ticket grid page based on flag")</f>
        <v/>
      </c>
      <c r="G3282" t="inlineStr">
        <is>
          <t>feat/pending-with-me</t>
        </is>
      </c>
      <c r="H3282" t="inlineStr">
        <is>
          <t>sprint-19</t>
        </is>
      </c>
      <c r="I3282" t="inlineStr">
        <is>
          <t>merged</t>
        </is>
      </c>
      <c r="J3282" t="inlineStr">
        <is>
          <t>7b8f82b1173d8a95cc8b4ae97e6d1a23fe70b9bb</t>
        </is>
      </c>
      <c r="K3282">
        <f>HYPERLINK("http://gitlab.osmosys.co/incident-reporter/incident-reporter-angular-portal/-/merge_requests/3646#note_245926", "@soundariya.b I added your code but it is giving eslint error. So, I am not changing anything with my logic. Keeping it as it is
![image.png](/uploads/03b69a7c94363c1d07181f37514e3091/image.png){width=879 height=485}")</f>
        <v/>
      </c>
      <c r="L3282" t="inlineStr">
        <is>
          <t>2025-08-02 03:08:35.154 IST</t>
        </is>
      </c>
      <c r="M3282" t="inlineStr">
        <is>
          <t>Sayan Mondal</t>
        </is>
      </c>
      <c r="N3282" t="inlineStr">
        <is>
          <t>No</t>
        </is>
      </c>
      <c r="O3282" t="inlineStr">
        <is>
          <t>Yes</t>
        </is>
      </c>
      <c r="P3282" t="inlineStr">
        <is>
          <t>Soundariya B</t>
        </is>
      </c>
      <c r="Q3282" t="inlineStr">
        <is>
          <t>Bad</t>
        </is>
      </c>
    </row>
    <row r="3283">
      <c r="A3283" t="inlineStr">
        <is>
          <t>sayan.mondal</t>
        </is>
      </c>
      <c r="B3283" t="inlineStr">
        <is>
          <t>Sayan Mondal</t>
        </is>
      </c>
      <c r="C3283" t="inlineStr">
        <is>
          <t>sayan.m@osmosys.co</t>
        </is>
      </c>
      <c r="D3283" t="inlineStr">
        <is>
          <t>incident-reporter</t>
        </is>
      </c>
      <c r="E3283">
        <f>HYPERLINK("http://gitlab.osmosys.co/incident-reporter/incident-reporter-angular-portal", "OQSHA Portal")</f>
        <v/>
      </c>
      <c r="F3283">
        <f>HYPERLINK("http://gitlab.osmosys.co/incident-reporter/incident-reporter-angular-portal/-/merge_requests/3646", "feat: add button in ticket grid page based on flag")</f>
        <v/>
      </c>
      <c r="G3283" t="inlineStr">
        <is>
          <t>feat/pending-with-me</t>
        </is>
      </c>
      <c r="H3283" t="inlineStr">
        <is>
          <t>sprint-19</t>
        </is>
      </c>
      <c r="I3283" t="inlineStr">
        <is>
          <t>merged</t>
        </is>
      </c>
      <c r="J3283" t="inlineStr">
        <is>
          <t>7b8f82b1173d8a95cc8b4ae97e6d1a23fe70b9bb</t>
        </is>
      </c>
      <c r="K3283">
        <f>HYPERLINK("http://gitlab.osmosys.co/incident-reporter/incident-reporter-angular-portal/-/merge_requests/3646#note_245966", "```
const statusMap = {
  siteEHS: [
    { Name: this.INCIDENT_STATUS.OPEN },
    { Name: this.INCIDENT_STATUS.RESOLVED },
  ],
  ehsHead: [{ Name: this.INCIDENT_STATUS.VALIDATED_1 }],
  default: [{ Name: this.INCIDENT_STATUS.ASSIGNED }],
};
let selectedStatus;
if (this.isUserSiteEHS) {
  selectedStatus = statusMap.siteEHS;
} else if (this.isUserEHSHead) {
  selectedStatus = statusMap.ehsHead;
} else {
  selectedStatus = statusMap.default;
}
const assignedTo = this.isUserSiteEHS || this.isUserEHSHead ? [] : [currentUserId];
this.currentFilters = {
  ...this.currentFilters,
  selectedStatus,
  assignedTo,
};
```
Okay agreed so use if..elseif..if only but in improvised way which should be clean code and increase readability")</f>
        <v/>
      </c>
      <c r="L3283" t="inlineStr">
        <is>
          <t>2025-08-02 03:48:12.278 IST</t>
        </is>
      </c>
      <c r="M3283" t="inlineStr">
        <is>
          <t>Soundariya B</t>
        </is>
      </c>
      <c r="N3283" t="inlineStr">
        <is>
          <t>Yes</t>
        </is>
      </c>
      <c r="O3283" t="inlineStr">
        <is>
          <t>Yes</t>
        </is>
      </c>
      <c r="P3283" t="inlineStr">
        <is>
          <t>Soundariya B</t>
        </is>
      </c>
      <c r="Q3283" t="inlineStr">
        <is>
          <t>Bad</t>
        </is>
      </c>
    </row>
    <row r="3284">
      <c r="A3284" t="inlineStr">
        <is>
          <t>sayan.mondal</t>
        </is>
      </c>
      <c r="B3284" t="inlineStr">
        <is>
          <t>Sayan Mondal</t>
        </is>
      </c>
      <c r="C3284" t="inlineStr">
        <is>
          <t>sayan.m@osmosys.co</t>
        </is>
      </c>
      <c r="D3284" t="inlineStr">
        <is>
          <t>incident-reporter</t>
        </is>
      </c>
      <c r="E3284">
        <f>HYPERLINK("http://gitlab.osmosys.co/incident-reporter/incident-reporter-angular-portal", "OQSHA Portal")</f>
        <v/>
      </c>
      <c r="F3284">
        <f>HYPERLINK("http://gitlab.osmosys.co/incident-reporter/incident-reporter-angular-portal/-/merge_requests/3644", "fix: fix ticket grid button visibility on load &amp; PTW create/update.")</f>
        <v/>
      </c>
      <c r="G3284" t="inlineStr">
        <is>
          <t>fix/ticket-ptw</t>
        </is>
      </c>
      <c r="H3284" t="inlineStr">
        <is>
          <t>sprint-18</t>
        </is>
      </c>
      <c r="I3284" t="inlineStr">
        <is>
          <t>merged</t>
        </is>
      </c>
      <c r="J3284" t="inlineStr"/>
      <c r="K3284" t="inlineStr"/>
      <c r="L3284" t="inlineStr"/>
      <c r="M3284" t="inlineStr"/>
      <c r="N3284" t="inlineStr"/>
      <c r="O3284" t="inlineStr"/>
      <c r="P3284" t="inlineStr"/>
      <c r="Q3284" t="inlineStr"/>
    </row>
    <row r="3285">
      <c r="A3285" t="inlineStr">
        <is>
          <t>sayan.mondal</t>
        </is>
      </c>
      <c r="B3285" t="inlineStr">
        <is>
          <t>Sayan Mondal</t>
        </is>
      </c>
      <c r="C3285" t="inlineStr">
        <is>
          <t>sayan.m@osmosys.co</t>
        </is>
      </c>
      <c r="D3285" t="inlineStr">
        <is>
          <t>incident-reporter</t>
        </is>
      </c>
      <c r="E3285">
        <f>HYPERLINK("http://gitlab.osmosys.co/incident-reporter/incident-reporter-angular-portal", "OQSHA Portal")</f>
        <v/>
      </c>
      <c r="F3285">
        <f>HYPERLINK("http://gitlab.osmosys.co/incident-reporter/incident-reporter-angular-portal/-/merge_requests/3632", "feat: add new dropdown for company users")</f>
        <v/>
      </c>
      <c r="G3285" t="inlineStr">
        <is>
          <t>feat/contractor-user</t>
        </is>
      </c>
      <c r="H3285" t="inlineStr">
        <is>
          <t>sprint-18</t>
        </is>
      </c>
      <c r="I3285" t="inlineStr">
        <is>
          <t>merged</t>
        </is>
      </c>
      <c r="J3285" t="inlineStr">
        <is>
          <t>d9e38c850c826e7b830aec04911d3c93c79f6ffc</t>
        </is>
      </c>
      <c r="K3285">
        <f>HYPERLINK("http://gitlab.osmosys.co/incident-reporter/incident-reporter-angular-portal/-/merge_requests/3632#note_243210", "https://gitlab.osmosys.co/incident-reporter/incident-reporter-angular-portal/-/merge_requests/3611")</f>
        <v/>
      </c>
      <c r="L3285" t="inlineStr">
        <is>
          <t>2025-07-28 18:35:30.034 IST</t>
        </is>
      </c>
      <c r="M3285" t="inlineStr">
        <is>
          <t>Soundariya B</t>
        </is>
      </c>
      <c r="N3285" t="inlineStr">
        <is>
          <t>Yes</t>
        </is>
      </c>
      <c r="O3285" t="inlineStr">
        <is>
          <t>Yes</t>
        </is>
      </c>
      <c r="P3285" t="inlineStr">
        <is>
          <t>Soundariya B</t>
        </is>
      </c>
      <c r="Q3285" t="inlineStr">
        <is>
          <t>Good</t>
        </is>
      </c>
    </row>
    <row r="3286">
      <c r="A3286" t="inlineStr">
        <is>
          <t>sayan.mondal</t>
        </is>
      </c>
      <c r="B3286" t="inlineStr">
        <is>
          <t>Sayan Mondal</t>
        </is>
      </c>
      <c r="C3286" t="inlineStr">
        <is>
          <t>sayan.m@osmosys.co</t>
        </is>
      </c>
      <c r="D3286" t="inlineStr">
        <is>
          <t>incident-reporter</t>
        </is>
      </c>
      <c r="E3286">
        <f>HYPERLINK("http://gitlab.osmosys.co/incident-reporter/incident-reporter-angular-portal", "OQSHA Portal")</f>
        <v/>
      </c>
      <c r="F3286">
        <f>HYPERLINK("http://gitlab.osmosys.co/incident-reporter/incident-reporter-angular-portal/-/merge_requests/3632", "feat: add new dropdown for company users")</f>
        <v/>
      </c>
      <c r="G3286" t="inlineStr">
        <is>
          <t>feat/contractor-user</t>
        </is>
      </c>
      <c r="H3286" t="inlineStr">
        <is>
          <t>sprint-18</t>
        </is>
      </c>
      <c r="I3286" t="inlineStr">
        <is>
          <t>merged</t>
        </is>
      </c>
      <c r="J3286" t="inlineStr">
        <is>
          <t>d9e38c850c826e7b830aec04911d3c93c79f6ffc</t>
        </is>
      </c>
      <c r="K3286">
        <f>HYPERLINK("http://gitlab.osmosys.co/incident-reporter/incident-reporter-angular-portal/-/merge_requests/3632#note_243212", "As I checked this closed PR threads and all threads are resolved so approving it")</f>
        <v/>
      </c>
      <c r="L3286" t="inlineStr">
        <is>
          <t>2025-07-28 18:36:03.474 IST</t>
        </is>
      </c>
      <c r="M3286" t="inlineStr">
        <is>
          <t>Soundariya B</t>
        </is>
      </c>
      <c r="N3286" t="inlineStr">
        <is>
          <t>Yes</t>
        </is>
      </c>
      <c r="O3286" t="inlineStr">
        <is>
          <t>Yes</t>
        </is>
      </c>
      <c r="P3286" t="inlineStr">
        <is>
          <t>Soundariya B</t>
        </is>
      </c>
      <c r="Q3286" t="inlineStr">
        <is>
          <t>Good</t>
        </is>
      </c>
    </row>
    <row r="3287">
      <c r="A3287" t="inlineStr">
        <is>
          <t>sayan.mondal</t>
        </is>
      </c>
      <c r="B3287" t="inlineStr">
        <is>
          <t>Sayan Mondal</t>
        </is>
      </c>
      <c r="C3287" t="inlineStr">
        <is>
          <t>sayan.m@osmosys.co</t>
        </is>
      </c>
      <c r="D3287" t="inlineStr">
        <is>
          <t>incident-reporter</t>
        </is>
      </c>
      <c r="E3287">
        <f>HYPERLINK("http://gitlab.osmosys.co/incident-reporter/incident-reporter-angular-portal", "OQSHA Portal")</f>
        <v/>
      </c>
      <c r="F3287">
        <f>HYPERLINK("http://gitlab.osmosys.co/incident-reporter/incident-reporter-angular-portal/-/merge_requests/3624", "feat: add building image as filter in library")</f>
        <v/>
      </c>
      <c r="G3287" t="inlineStr">
        <is>
          <t>feat/library</t>
        </is>
      </c>
      <c r="H3287" t="inlineStr">
        <is>
          <t>sprint-18</t>
        </is>
      </c>
      <c r="I3287" t="inlineStr">
        <is>
          <t>merged</t>
        </is>
      </c>
      <c r="J3287" t="inlineStr"/>
      <c r="K3287" t="inlineStr"/>
      <c r="L3287" t="inlineStr"/>
      <c r="M3287" t="inlineStr"/>
      <c r="N3287" t="inlineStr"/>
      <c r="O3287" t="inlineStr"/>
      <c r="P3287" t="inlineStr"/>
      <c r="Q3287" t="inlineStr"/>
    </row>
    <row r="3288">
      <c r="A3288" t="inlineStr">
        <is>
          <t>sayan.mondal</t>
        </is>
      </c>
      <c r="B3288" t="inlineStr">
        <is>
          <t>Sayan Mondal</t>
        </is>
      </c>
      <c r="C3288" t="inlineStr">
        <is>
          <t>sayan.m@osmosys.co</t>
        </is>
      </c>
      <c r="D3288" t="inlineStr">
        <is>
          <t>incident-reporter</t>
        </is>
      </c>
      <c r="E3288">
        <f>HYPERLINK("http://gitlab.osmosys.co/incident-reporter/incident-reporter-angular-portal", "OQSHA Portal")</f>
        <v/>
      </c>
      <c r="F3288">
        <f>HYPERLINK("http://gitlab.osmosys.co/incident-reporter/incident-reporter-angular-portal/-/merge_requests/3620", "feat: add associated shifts to ptw")</f>
        <v/>
      </c>
      <c r="G3288" t="inlineStr">
        <is>
          <t>feat/ptw-shift</t>
        </is>
      </c>
      <c r="H3288" t="inlineStr">
        <is>
          <t>sprint-18</t>
        </is>
      </c>
      <c r="I3288" t="inlineStr">
        <is>
          <t>merged</t>
        </is>
      </c>
      <c r="J3288" t="inlineStr">
        <is>
          <t>cf017480f85635ce9e5d399f4c1e18dd1c116080</t>
        </is>
      </c>
      <c r="K3288">
        <f>HYPERLINK("http://gitlab.osmosys.co/incident-reporter/incident-reporter-angular-portal/-/merge_requests/3620#note_242777", "**Explicit union is fine—but wrap in a type alias**
type Shift = { Name: string; Id: number } | { Name?: string; Id?: number }; 
ShiftId?: Shift\[\];")</f>
        <v/>
      </c>
      <c r="L3288" t="inlineStr">
        <is>
          <t>2025-07-28 11:38:50.622 IST</t>
        </is>
      </c>
      <c r="M3288" t="inlineStr">
        <is>
          <t>Soundariya B</t>
        </is>
      </c>
      <c r="N3288" t="inlineStr">
        <is>
          <t>Yes</t>
        </is>
      </c>
      <c r="O3288" t="inlineStr">
        <is>
          <t>Yes</t>
        </is>
      </c>
      <c r="P3288" t="inlineStr">
        <is>
          <t>Soundariya B</t>
        </is>
      </c>
      <c r="Q3288" t="inlineStr">
        <is>
          <t>Neutral</t>
        </is>
      </c>
    </row>
    <row r="3289">
      <c r="A3289" t="inlineStr">
        <is>
          <t>sayan.mondal</t>
        </is>
      </c>
      <c r="B3289" t="inlineStr">
        <is>
          <t>Sayan Mondal</t>
        </is>
      </c>
      <c r="C3289" t="inlineStr">
        <is>
          <t>sayan.m@osmosys.co</t>
        </is>
      </c>
      <c r="D3289" t="inlineStr">
        <is>
          <t>incident-reporter</t>
        </is>
      </c>
      <c r="E3289">
        <f>HYPERLINK("http://gitlab.osmosys.co/incident-reporter/incident-reporter-angular-portal", "OQSHA Portal")</f>
        <v/>
      </c>
      <c r="F3289">
        <f>HYPERLINK("http://gitlab.osmosys.co/incident-reporter/incident-reporter-angular-portal/-/merge_requests/3620", "feat: add associated shifts to ptw")</f>
        <v/>
      </c>
      <c r="G3289" t="inlineStr">
        <is>
          <t>feat/ptw-shift</t>
        </is>
      </c>
      <c r="H3289" t="inlineStr">
        <is>
          <t>sprint-18</t>
        </is>
      </c>
      <c r="I3289" t="inlineStr">
        <is>
          <t>merged</t>
        </is>
      </c>
      <c r="J3289" t="inlineStr">
        <is>
          <t>04faf5284e0cee439a7a540c788ad673e701bb32</t>
        </is>
      </c>
      <c r="K3289">
        <f>HYPERLINK("http://gitlab.osmosys.co/incident-reporter/incident-reporter-angular-portal/-/merge_requests/3620#note_242780", "It should be SUPPORT_SHIFTS")</f>
        <v/>
      </c>
      <c r="L3289" t="inlineStr">
        <is>
          <t>2025-07-28 11:38:50.716 IST</t>
        </is>
      </c>
      <c r="M3289" t="inlineStr">
        <is>
          <t>Soundariya B</t>
        </is>
      </c>
      <c r="N3289" t="inlineStr">
        <is>
          <t>Yes</t>
        </is>
      </c>
      <c r="O3289" t="inlineStr">
        <is>
          <t>Yes</t>
        </is>
      </c>
      <c r="P3289" t="inlineStr">
        <is>
          <t>Soundariya B</t>
        </is>
      </c>
      <c r="Q3289" t="inlineStr">
        <is>
          <t>Neutral</t>
        </is>
      </c>
    </row>
    <row r="3290">
      <c r="A3290" t="inlineStr">
        <is>
          <t>sayan.mondal</t>
        </is>
      </c>
      <c r="B3290" t="inlineStr">
        <is>
          <t>Sayan Mondal</t>
        </is>
      </c>
      <c r="C3290" t="inlineStr">
        <is>
          <t>sayan.m@osmosys.co</t>
        </is>
      </c>
      <c r="D3290" t="inlineStr">
        <is>
          <t>incident-reporter</t>
        </is>
      </c>
      <c r="E3290">
        <f>HYPERLINK("http://gitlab.osmosys.co/incident-reporter/incident-reporter-angular-portal", "OQSHA Portal")</f>
        <v/>
      </c>
      <c r="F3290">
        <f>HYPERLINK("http://gitlab.osmosys.co/incident-reporter/incident-reporter-angular-portal/-/merge_requests/3620", "feat: add associated shifts to ptw")</f>
        <v/>
      </c>
      <c r="G3290" t="inlineStr">
        <is>
          <t>feat/ptw-shift</t>
        </is>
      </c>
      <c r="H3290" t="inlineStr">
        <is>
          <t>sprint-18</t>
        </is>
      </c>
      <c r="I3290" t="inlineStr">
        <is>
          <t>merged</t>
        </is>
      </c>
      <c r="J3290" t="inlineStr">
        <is>
          <t>7b4a80e2d2c09187cb0d736e7dc4b42f0a45c96c</t>
        </is>
      </c>
      <c r="K3290">
        <f>HYPERLINK("http://gitlab.osmosys.co/incident-reporter/incident-reporter-angular-portal/-/merge_requests/3620#note_242783", "Placeholder is missing please add it")</f>
        <v/>
      </c>
      <c r="L3290" t="inlineStr">
        <is>
          <t>2025-07-28 11:38:50.809 IST</t>
        </is>
      </c>
      <c r="M3290" t="inlineStr">
        <is>
          <t>Soundariya B</t>
        </is>
      </c>
      <c r="N3290" t="inlineStr">
        <is>
          <t>Yes</t>
        </is>
      </c>
      <c r="O3290" t="inlineStr">
        <is>
          <t>Yes</t>
        </is>
      </c>
      <c r="P3290" t="inlineStr">
        <is>
          <t>Soundariya B</t>
        </is>
      </c>
      <c r="Q3290" t="inlineStr">
        <is>
          <t>Neutral</t>
        </is>
      </c>
    </row>
    <row r="3291">
      <c r="A3291" t="inlineStr">
        <is>
          <t>sayan.mondal</t>
        </is>
      </c>
      <c r="B3291" t="inlineStr">
        <is>
          <t>Sayan Mondal</t>
        </is>
      </c>
      <c r="C3291" t="inlineStr">
        <is>
          <t>sayan.m@osmosys.co</t>
        </is>
      </c>
      <c r="D3291" t="inlineStr">
        <is>
          <t>incident-reporter</t>
        </is>
      </c>
      <c r="E3291">
        <f>HYPERLINK("http://gitlab.osmosys.co/incident-reporter/incident-reporter-angular-portal", "OQSHA Portal")</f>
        <v/>
      </c>
      <c r="F3291">
        <f>HYPERLINK("http://gitlab.osmosys.co/incident-reporter/incident-reporter-angular-portal/-/merge_requests/3620", "feat: add associated shifts to ptw")</f>
        <v/>
      </c>
      <c r="G3291" t="inlineStr">
        <is>
          <t>feat/ptw-shift</t>
        </is>
      </c>
      <c r="H3291" t="inlineStr">
        <is>
          <t>sprint-18</t>
        </is>
      </c>
      <c r="I3291" t="inlineStr">
        <is>
          <t>merged</t>
        </is>
      </c>
      <c r="J3291" t="inlineStr">
        <is>
          <t>7b4a80e2d2c09187cb0d736e7dc4b42f0a45c96c</t>
        </is>
      </c>
      <c r="K3291">
        <f>HYPERLINK("http://gitlab.osmosys.co/incident-reporter/incident-reporter-angular-portal/-/merge_requests/3620#note_243027", "@soundariya.b  text is the placeholder.")</f>
        <v/>
      </c>
      <c r="L3291" t="inlineStr">
        <is>
          <t>2025-07-28 15:11:43.883 IST</t>
        </is>
      </c>
      <c r="M3291" t="inlineStr">
        <is>
          <t>Sayan Mondal</t>
        </is>
      </c>
      <c r="N3291" t="inlineStr">
        <is>
          <t>No</t>
        </is>
      </c>
      <c r="O3291" t="inlineStr">
        <is>
          <t>Yes</t>
        </is>
      </c>
      <c r="P3291" t="inlineStr">
        <is>
          <t>Soundariya B</t>
        </is>
      </c>
      <c r="Q3291" t="inlineStr">
        <is>
          <t>Neutral</t>
        </is>
      </c>
    </row>
    <row r="3292">
      <c r="A3292" t="inlineStr">
        <is>
          <t>sayan.mondal</t>
        </is>
      </c>
      <c r="B3292" t="inlineStr">
        <is>
          <t>Sayan Mondal</t>
        </is>
      </c>
      <c r="C3292" t="inlineStr">
        <is>
          <t>sayan.m@osmosys.co</t>
        </is>
      </c>
      <c r="D3292" t="inlineStr">
        <is>
          <t>incident-reporter</t>
        </is>
      </c>
      <c r="E3292">
        <f>HYPERLINK("http://gitlab.osmosys.co/incident-reporter/incident-reporter-angular-portal", "OQSHA Portal")</f>
        <v/>
      </c>
      <c r="F3292">
        <f>HYPERLINK("http://gitlab.osmosys.co/incident-reporter/incident-reporter-angular-portal/-/merge_requests/3620", "feat: add associated shifts to ptw")</f>
        <v/>
      </c>
      <c r="G3292" t="inlineStr">
        <is>
          <t>feat/ptw-shift</t>
        </is>
      </c>
      <c r="H3292" t="inlineStr">
        <is>
          <t>sprint-18</t>
        </is>
      </c>
      <c r="I3292" t="inlineStr">
        <is>
          <t>merged</t>
        </is>
      </c>
      <c r="J3292" t="inlineStr">
        <is>
          <t>0de07a24ccc9608f336783cc3946b140c8ac9571</t>
        </is>
      </c>
      <c r="K3292">
        <f>HYPERLINK("http://gitlab.osmosys.co/incident-reporter/incident-reporter-angular-portal/-/merge_requests/3620#note_242787", "This should be false because the dropdown behavior should be same and consistent with other dropdown and their settings")</f>
        <v/>
      </c>
      <c r="L3292" t="inlineStr">
        <is>
          <t>2025-07-28 11:38:50.880 IST</t>
        </is>
      </c>
      <c r="M3292" t="inlineStr">
        <is>
          <t>Soundariya B</t>
        </is>
      </c>
      <c r="N3292" t="inlineStr">
        <is>
          <t>Yes</t>
        </is>
      </c>
      <c r="O3292" t="inlineStr">
        <is>
          <t>Yes</t>
        </is>
      </c>
      <c r="P3292" t="inlineStr">
        <is>
          <t>Soundariya B</t>
        </is>
      </c>
      <c r="Q3292" t="inlineStr">
        <is>
          <t>Neutral</t>
        </is>
      </c>
    </row>
    <row r="3293">
      <c r="A3293" t="inlineStr">
        <is>
          <t>sayan.mondal</t>
        </is>
      </c>
      <c r="B3293" t="inlineStr">
        <is>
          <t>Sayan Mondal</t>
        </is>
      </c>
      <c r="C3293" t="inlineStr">
        <is>
          <t>sayan.m@osmosys.co</t>
        </is>
      </c>
      <c r="D3293" t="inlineStr">
        <is>
          <t>incident-reporter</t>
        </is>
      </c>
      <c r="E3293">
        <f>HYPERLINK("http://gitlab.osmosys.co/incident-reporter/incident-reporter-angular-portal", "OQSHA Portal")</f>
        <v/>
      </c>
      <c r="F3293">
        <f>HYPERLINK("http://gitlab.osmosys.co/incident-reporter/incident-reporter-angular-portal/-/merge_requests/3620", "feat: add associated shifts to ptw")</f>
        <v/>
      </c>
      <c r="G3293" t="inlineStr">
        <is>
          <t>feat/ptw-shift</t>
        </is>
      </c>
      <c r="H3293" t="inlineStr">
        <is>
          <t>sprint-18</t>
        </is>
      </c>
      <c r="I3293" t="inlineStr">
        <is>
          <t>merged</t>
        </is>
      </c>
      <c r="J3293" t="inlineStr">
        <is>
          <t>0de07a24ccc9608f336783cc3946b140c8ac9571</t>
        </is>
      </c>
      <c r="K3293">
        <f>HYPERLINK("http://gitlab.osmosys.co/incident-reporter/incident-reporter-angular-portal/-/merge_requests/3620#note_243035", "It will be same as of other dropdown, it is a single select dropdown due to which it shouldn't be open after it is clicked.")</f>
        <v/>
      </c>
      <c r="L3293" t="inlineStr">
        <is>
          <t>2025-07-28 15:13:18.461 IST</t>
        </is>
      </c>
      <c r="M3293" t="inlineStr">
        <is>
          <t>Sayan Mondal</t>
        </is>
      </c>
      <c r="N3293" t="inlineStr">
        <is>
          <t>No</t>
        </is>
      </c>
      <c r="O3293" t="inlineStr">
        <is>
          <t>Yes</t>
        </is>
      </c>
      <c r="P3293" t="inlineStr">
        <is>
          <t>Soundariya B</t>
        </is>
      </c>
      <c r="Q3293" t="inlineStr">
        <is>
          <t>Neutral</t>
        </is>
      </c>
    </row>
    <row r="3294">
      <c r="A3294" t="inlineStr">
        <is>
          <t>sayan.mondal</t>
        </is>
      </c>
      <c r="B3294" t="inlineStr">
        <is>
          <t>Sayan Mondal</t>
        </is>
      </c>
      <c r="C3294" t="inlineStr">
        <is>
          <t>sayan.m@osmosys.co</t>
        </is>
      </c>
      <c r="D3294" t="inlineStr">
        <is>
          <t>incident-reporter</t>
        </is>
      </c>
      <c r="E3294">
        <f>HYPERLINK("http://gitlab.osmosys.co/incident-reporter/incident-reporter-angular-portal", "OQSHA Portal")</f>
        <v/>
      </c>
      <c r="F3294">
        <f>HYPERLINK("http://gitlab.osmosys.co/incident-reporter/incident-reporter-angular-portal/-/merge_requests/3620", "feat: add associated shifts to ptw")</f>
        <v/>
      </c>
      <c r="G3294" t="inlineStr">
        <is>
          <t>feat/ptw-shift</t>
        </is>
      </c>
      <c r="H3294" t="inlineStr">
        <is>
          <t>sprint-18</t>
        </is>
      </c>
      <c r="I3294" t="inlineStr">
        <is>
          <t>merged</t>
        </is>
      </c>
      <c r="J3294" t="inlineStr">
        <is>
          <t>80f60ec69191c8d6ff1739e4dd0f0cda4d483ef9</t>
        </is>
      </c>
      <c r="K3294">
        <f>HYPERLINK("http://gitlab.osmosys.co/incident-reporter/incident-reporter-angular-portal/-/merge_requests/3620#note_242791", "Improve this and reduce redundancy
```
const shouldDisableShift = 
  (this.viewPTWFormModel.JobType !== null &amp;&amp; !this.isEditMode) ||
  !!this.permitId;
if (shouldDisableShift) {
  this.shiftSettings = { disabled: true };
}
```")</f>
        <v/>
      </c>
      <c r="L3294" t="inlineStr">
        <is>
          <t>2025-07-28 11:38:50.947 IST</t>
        </is>
      </c>
      <c r="M3294" t="inlineStr">
        <is>
          <t>Soundariya B</t>
        </is>
      </c>
      <c r="N3294" t="inlineStr">
        <is>
          <t>Yes</t>
        </is>
      </c>
      <c r="O3294" t="inlineStr">
        <is>
          <t>Yes</t>
        </is>
      </c>
      <c r="P3294" t="inlineStr">
        <is>
          <t>Soundariya B</t>
        </is>
      </c>
      <c r="Q3294" t="inlineStr">
        <is>
          <t>Neutral</t>
        </is>
      </c>
    </row>
    <row r="3295">
      <c r="A3295" t="inlineStr">
        <is>
          <t>sayan.mondal</t>
        </is>
      </c>
      <c r="B3295" t="inlineStr">
        <is>
          <t>Sayan Mondal</t>
        </is>
      </c>
      <c r="C3295" t="inlineStr">
        <is>
          <t>sayan.m@osmosys.co</t>
        </is>
      </c>
      <c r="D3295" t="inlineStr">
        <is>
          <t>incident-reporter</t>
        </is>
      </c>
      <c r="E3295">
        <f>HYPERLINK("http://gitlab.osmosys.co/incident-reporter/incident-reporter-angular-portal", "OQSHA Portal")</f>
        <v/>
      </c>
      <c r="F3295">
        <f>HYPERLINK("http://gitlab.osmosys.co/incident-reporter/incident-reporter-angular-portal/-/merge_requests/3620", "feat: add associated shifts to ptw")</f>
        <v/>
      </c>
      <c r="G3295" t="inlineStr">
        <is>
          <t>feat/ptw-shift</t>
        </is>
      </c>
      <c r="H3295" t="inlineStr">
        <is>
          <t>sprint-18</t>
        </is>
      </c>
      <c r="I3295" t="inlineStr">
        <is>
          <t>merged</t>
        </is>
      </c>
      <c r="J3295" t="inlineStr">
        <is>
          <t>837cd06b7061ca1407f7233241b43935ec2bf56f</t>
        </is>
      </c>
      <c r="K3295">
        <f>HYPERLINK("http://gitlab.osmosys.co/incident-reporter/incident-reporter-angular-portal/-/merge_requests/3620#note_242792", "This function having more than 70 lines so can you please split in small functions and use it")</f>
        <v/>
      </c>
      <c r="L3295" t="inlineStr">
        <is>
          <t>2025-07-28 11:38:51.020 IST</t>
        </is>
      </c>
      <c r="M3295" t="inlineStr">
        <is>
          <t>Soundariya B</t>
        </is>
      </c>
      <c r="N3295" t="inlineStr">
        <is>
          <t>Yes</t>
        </is>
      </c>
      <c r="O3295" t="inlineStr">
        <is>
          <t>Yes</t>
        </is>
      </c>
      <c r="P3295" t="inlineStr">
        <is>
          <t>Soundariya B</t>
        </is>
      </c>
      <c r="Q3295" t="inlineStr">
        <is>
          <t>Bad</t>
        </is>
      </c>
    </row>
    <row r="3296">
      <c r="A3296" t="inlineStr">
        <is>
          <t>sayan.mondal</t>
        </is>
      </c>
      <c r="B3296" t="inlineStr">
        <is>
          <t>Sayan Mondal</t>
        </is>
      </c>
      <c r="C3296" t="inlineStr">
        <is>
          <t>sayan.m@osmosys.co</t>
        </is>
      </c>
      <c r="D3296" t="inlineStr">
        <is>
          <t>incident-reporter</t>
        </is>
      </c>
      <c r="E3296">
        <f>HYPERLINK("http://gitlab.osmosys.co/incident-reporter/incident-reporter-angular-portal", "OQSHA Portal")</f>
        <v/>
      </c>
      <c r="F3296">
        <f>HYPERLINK("http://gitlab.osmosys.co/incident-reporter/incident-reporter-angular-portal/-/merge_requests/3620", "feat: add associated shifts to ptw")</f>
        <v/>
      </c>
      <c r="G3296" t="inlineStr">
        <is>
          <t>feat/ptw-shift</t>
        </is>
      </c>
      <c r="H3296" t="inlineStr">
        <is>
          <t>sprint-18</t>
        </is>
      </c>
      <c r="I3296" t="inlineStr">
        <is>
          <t>merged</t>
        </is>
      </c>
      <c r="J3296" t="inlineStr">
        <is>
          <t>fb029221670b05967c49ecef7404ee40ffc0131d</t>
        </is>
      </c>
      <c r="K3296">
        <f>HYPERLINK("http://gitlab.osmosys.co/incident-reporter/incident-reporter-angular-portal/-/merge_requests/3620#note_242793", "Use the same type of time format for all 3 and use it dynamic as its using more than 1 times
```
moment(
      `${moment(startDate).format('YYYY-MM-DD')} ${startTime}`,
      'YYYY-MM-DD hh:mm A',
    );
```")</f>
        <v/>
      </c>
      <c r="L3296" t="inlineStr">
        <is>
          <t>2025-07-28 11:38:51.088 IST</t>
        </is>
      </c>
      <c r="M3296" t="inlineStr">
        <is>
          <t>Soundariya B</t>
        </is>
      </c>
      <c r="N3296" t="inlineStr">
        <is>
          <t>Yes</t>
        </is>
      </c>
      <c r="O3296" t="inlineStr">
        <is>
          <t>Yes</t>
        </is>
      </c>
      <c r="P3296" t="inlineStr">
        <is>
          <t>Soundariya B</t>
        </is>
      </c>
      <c r="Q3296" t="inlineStr">
        <is>
          <t>Bad</t>
        </is>
      </c>
    </row>
    <row r="3297">
      <c r="A3297" t="inlineStr">
        <is>
          <t>sayan.mondal</t>
        </is>
      </c>
      <c r="B3297" t="inlineStr">
        <is>
          <t>Sayan Mondal</t>
        </is>
      </c>
      <c r="C3297" t="inlineStr">
        <is>
          <t>sayan.m@osmosys.co</t>
        </is>
      </c>
      <c r="D3297" t="inlineStr">
        <is>
          <t>incident-reporter</t>
        </is>
      </c>
      <c r="E3297">
        <f>HYPERLINK("http://gitlab.osmosys.co/incident-reporter/incident-reporter-angular-portal", "OQSHA Portal")</f>
        <v/>
      </c>
      <c r="F3297">
        <f>HYPERLINK("http://gitlab.osmosys.co/incident-reporter/incident-reporter-angular-portal/-/merge_requests/3620", "feat: add associated shifts to ptw")</f>
        <v/>
      </c>
      <c r="G3297" t="inlineStr">
        <is>
          <t>feat/ptw-shift</t>
        </is>
      </c>
      <c r="H3297" t="inlineStr">
        <is>
          <t>sprint-18</t>
        </is>
      </c>
      <c r="I3297" t="inlineStr">
        <is>
          <t>merged</t>
        </is>
      </c>
      <c r="J3297" t="inlineStr">
        <is>
          <t>fb029221670b05967c49ecef7404ee40ffc0131d</t>
        </is>
      </c>
      <c r="K3297">
        <f>HYPERLINK("http://gitlab.osmosys.co/incident-reporter/incident-reporter-angular-portal/-/merge_requests/3620#note_243036", "We aren't setting date and time over here, we are just comparing the endTime with startTime and doing the validation")</f>
        <v/>
      </c>
      <c r="L3297" t="inlineStr">
        <is>
          <t>2025-07-28 15:16:32.334 IST</t>
        </is>
      </c>
      <c r="M3297" t="inlineStr">
        <is>
          <t>Sayan Mondal</t>
        </is>
      </c>
      <c r="N3297" t="inlineStr">
        <is>
          <t>No</t>
        </is>
      </c>
      <c r="O3297" t="inlineStr">
        <is>
          <t>Yes</t>
        </is>
      </c>
      <c r="P3297" t="inlineStr">
        <is>
          <t>Soundariya B</t>
        </is>
      </c>
      <c r="Q3297" t="inlineStr">
        <is>
          <t>Bad</t>
        </is>
      </c>
    </row>
    <row r="3298">
      <c r="A3298" t="inlineStr">
        <is>
          <t>sayan.mondal</t>
        </is>
      </c>
      <c r="B3298" t="inlineStr">
        <is>
          <t>Sayan Mondal</t>
        </is>
      </c>
      <c r="C3298" t="inlineStr">
        <is>
          <t>sayan.m@osmosys.co</t>
        </is>
      </c>
      <c r="D3298" t="inlineStr">
        <is>
          <t>incident-reporter</t>
        </is>
      </c>
      <c r="E3298">
        <f>HYPERLINK("http://gitlab.osmosys.co/incident-reporter/incident-reporter-angular-portal", "OQSHA Portal")</f>
        <v/>
      </c>
      <c r="F3298">
        <f>HYPERLINK("http://gitlab.osmosys.co/incident-reporter/incident-reporter-angular-portal/-/merge_requests/3620", "feat: add associated shifts to ptw")</f>
        <v/>
      </c>
      <c r="G3298" t="inlineStr">
        <is>
          <t>feat/ptw-shift</t>
        </is>
      </c>
      <c r="H3298" t="inlineStr">
        <is>
          <t>sprint-18</t>
        </is>
      </c>
      <c r="I3298" t="inlineStr">
        <is>
          <t>merged</t>
        </is>
      </c>
      <c r="J3298" t="inlineStr">
        <is>
          <t>9bb664c5bc358b763fe062c37372873ef48c7486</t>
        </is>
      </c>
      <c r="K3298">
        <f>HYPERLINK("http://gitlab.osmosys.co/incident-reporter/incident-reporter-angular-portal/-/merge_requests/3620#note_242794", "It should be - 'YYYY-MM-DD hh:mm A'")</f>
        <v/>
      </c>
      <c r="L3298" t="inlineStr">
        <is>
          <t>2025-07-28 11:38:51.156 IST</t>
        </is>
      </c>
      <c r="M3298" t="inlineStr">
        <is>
          <t>Soundariya B</t>
        </is>
      </c>
      <c r="N3298" t="inlineStr">
        <is>
          <t>Yes</t>
        </is>
      </c>
      <c r="O3298" t="inlineStr">
        <is>
          <t>Yes</t>
        </is>
      </c>
      <c r="P3298" t="inlineStr">
        <is>
          <t>Soundariya B</t>
        </is>
      </c>
      <c r="Q3298" t="inlineStr">
        <is>
          <t>Bad</t>
        </is>
      </c>
    </row>
    <row r="3299">
      <c r="A3299" t="inlineStr">
        <is>
          <t>sayan.mondal</t>
        </is>
      </c>
      <c r="B3299" t="inlineStr">
        <is>
          <t>Sayan Mondal</t>
        </is>
      </c>
      <c r="C3299" t="inlineStr">
        <is>
          <t>sayan.m@osmosys.co</t>
        </is>
      </c>
      <c r="D3299" t="inlineStr">
        <is>
          <t>incident-reporter</t>
        </is>
      </c>
      <c r="E3299">
        <f>HYPERLINK("http://gitlab.osmosys.co/incident-reporter/incident-reporter-angular-portal", "OQSHA Portal")</f>
        <v/>
      </c>
      <c r="F3299">
        <f>HYPERLINK("http://gitlab.osmosys.co/incident-reporter/incident-reporter-angular-portal/-/merge_requests/3620", "feat: add associated shifts to ptw")</f>
        <v/>
      </c>
      <c r="G3299" t="inlineStr">
        <is>
          <t>feat/ptw-shift</t>
        </is>
      </c>
      <c r="H3299" t="inlineStr">
        <is>
          <t>sprint-18</t>
        </is>
      </c>
      <c r="I3299" t="inlineStr">
        <is>
          <t>merged</t>
        </is>
      </c>
      <c r="J3299" t="inlineStr">
        <is>
          <t>9bb664c5bc358b763fe062c37372873ef48c7486</t>
        </is>
      </c>
      <c r="K3299">
        <f>HYPERLINK("http://gitlab.osmosys.co/incident-reporter/incident-reporter-angular-portal/-/merge_requests/3620#note_243042", "We aren't setting date and time over here, we are just comparing the endTime with startTime and doing the validation")</f>
        <v/>
      </c>
      <c r="L3299" t="inlineStr">
        <is>
          <t>2025-07-28 15:18:58.045 IST</t>
        </is>
      </c>
      <c r="M3299" t="inlineStr">
        <is>
          <t>Sayan Mondal</t>
        </is>
      </c>
      <c r="N3299" t="inlineStr">
        <is>
          <t>No</t>
        </is>
      </c>
      <c r="O3299" t="inlineStr">
        <is>
          <t>Yes</t>
        </is>
      </c>
      <c r="P3299" t="inlineStr">
        <is>
          <t>Soundariya B</t>
        </is>
      </c>
      <c r="Q3299" t="inlineStr">
        <is>
          <t>Bad</t>
        </is>
      </c>
    </row>
    <row r="3300">
      <c r="A3300" t="inlineStr">
        <is>
          <t>sayan.mondal</t>
        </is>
      </c>
      <c r="B3300" t="inlineStr">
        <is>
          <t>Sayan Mondal</t>
        </is>
      </c>
      <c r="C3300" t="inlineStr">
        <is>
          <t>sayan.m@osmosys.co</t>
        </is>
      </c>
      <c r="D3300" t="inlineStr">
        <is>
          <t>incident-reporter</t>
        </is>
      </c>
      <c r="E3300">
        <f>HYPERLINK("http://gitlab.osmosys.co/incident-reporter/incident-reporter-angular-portal", "OQSHA Portal")</f>
        <v/>
      </c>
      <c r="F3300">
        <f>HYPERLINK("http://gitlab.osmosys.co/incident-reporter/incident-reporter-angular-portal/-/merge_requests/3620", "feat: add associated shifts to ptw")</f>
        <v/>
      </c>
      <c r="G3300" t="inlineStr">
        <is>
          <t>feat/ptw-shift</t>
        </is>
      </c>
      <c r="H3300" t="inlineStr">
        <is>
          <t>sprint-18</t>
        </is>
      </c>
      <c r="I3300" t="inlineStr">
        <is>
          <t>merged</t>
        </is>
      </c>
      <c r="J3300" t="inlineStr">
        <is>
          <t>8c04bba980f55f1b4c3e8d2b47273e040e761043</t>
        </is>
      </c>
      <c r="K3300">
        <f>HYPERLINK("http://gitlab.osmosys.co/incident-reporter/incident-reporter-angular-portal/-/merge_requests/3620#note_242795", "What is selectedEnd or SelectStart or SelectedEndAdjust? Please give proper names")</f>
        <v/>
      </c>
      <c r="L3300" t="inlineStr">
        <is>
          <t>2025-07-28 11:38:51.223 IST</t>
        </is>
      </c>
      <c r="M3300" t="inlineStr">
        <is>
          <t>Soundariya B</t>
        </is>
      </c>
      <c r="N3300" t="inlineStr">
        <is>
          <t>Yes</t>
        </is>
      </c>
      <c r="O3300" t="inlineStr">
        <is>
          <t>Yes</t>
        </is>
      </c>
      <c r="P3300" t="inlineStr">
        <is>
          <t>Soundariya B</t>
        </is>
      </c>
      <c r="Q3300" t="inlineStr">
        <is>
          <t>Bad</t>
        </is>
      </c>
    </row>
    <row r="3301">
      <c r="A3301" t="inlineStr">
        <is>
          <t>sayan.mondal</t>
        </is>
      </c>
      <c r="B3301" t="inlineStr">
        <is>
          <t>Sayan Mondal</t>
        </is>
      </c>
      <c r="C3301" t="inlineStr">
        <is>
          <t>sayan.m@osmosys.co</t>
        </is>
      </c>
      <c r="D3301" t="inlineStr">
        <is>
          <t>incident-reporter</t>
        </is>
      </c>
      <c r="E3301">
        <f>HYPERLINK("http://gitlab.osmosys.co/incident-reporter/incident-reporter-angular-portal", "OQSHA Portal")</f>
        <v/>
      </c>
      <c r="F3301">
        <f>HYPERLINK("http://gitlab.osmosys.co/incident-reporter/incident-reporter-angular-portal/-/merge_requests/3620", "feat: add associated shifts to ptw")</f>
        <v/>
      </c>
      <c r="G3301" t="inlineStr">
        <is>
          <t>feat/ptw-shift</t>
        </is>
      </c>
      <c r="H3301" t="inlineStr">
        <is>
          <t>sprint-18</t>
        </is>
      </c>
      <c r="I3301" t="inlineStr">
        <is>
          <t>merged</t>
        </is>
      </c>
      <c r="J3301" t="inlineStr">
        <is>
          <t>1d1d5aa754def8e24e77701dc7486e0a76fe9510</t>
        </is>
      </c>
      <c r="K3301">
        <f>HYPERLINK("http://gitlab.osmosys.co/incident-reporter/incident-reporter-angular-portal/-/merge_requests/3620#note_242796", "Update it - 'The selected time falls outside the permitted shift hours.' or 'The selected time falls outside the selected shift hours.'")</f>
        <v/>
      </c>
      <c r="L3301" t="inlineStr">
        <is>
          <t>2025-07-28 11:38:51.309 IST</t>
        </is>
      </c>
      <c r="M3301" t="inlineStr">
        <is>
          <t>Soundariya B</t>
        </is>
      </c>
      <c r="N3301" t="inlineStr">
        <is>
          <t>Yes</t>
        </is>
      </c>
      <c r="O3301" t="inlineStr">
        <is>
          <t>Yes</t>
        </is>
      </c>
      <c r="P3301" t="inlineStr">
        <is>
          <t>Soundariya B</t>
        </is>
      </c>
      <c r="Q3301" t="inlineStr">
        <is>
          <t>Bad</t>
        </is>
      </c>
    </row>
    <row r="3302">
      <c r="A3302" t="inlineStr">
        <is>
          <t>sayan.mondal</t>
        </is>
      </c>
      <c r="B3302" t="inlineStr">
        <is>
          <t>Sayan Mondal</t>
        </is>
      </c>
      <c r="C3302" t="inlineStr">
        <is>
          <t>sayan.m@osmosys.co</t>
        </is>
      </c>
      <c r="D3302" t="inlineStr">
        <is>
          <t>incident-reporter</t>
        </is>
      </c>
      <c r="E3302">
        <f>HYPERLINK("http://gitlab.osmosys.co/incident-reporter/incident-reporter-angular-portal", "OQSHA Portal")</f>
        <v/>
      </c>
      <c r="F3302">
        <f>HYPERLINK("http://gitlab.osmosys.co/incident-reporter/incident-reporter-angular-portal/-/merge_requests/3620", "feat: add associated shifts to ptw")</f>
        <v/>
      </c>
      <c r="G3302" t="inlineStr">
        <is>
          <t>feat/ptw-shift</t>
        </is>
      </c>
      <c r="H3302" t="inlineStr">
        <is>
          <t>sprint-18</t>
        </is>
      </c>
      <c r="I3302" t="inlineStr">
        <is>
          <t>merged</t>
        </is>
      </c>
      <c r="J3302" t="inlineStr">
        <is>
          <t>1d1d5aa754def8e24e77701dc7486e0a76fe9510</t>
        </is>
      </c>
      <c r="K3302">
        <f>HYPERLINK("http://gitlab.osmosys.co/incident-reporter/incident-reporter-angular-portal/-/merge_requests/3620#note_242927", "@soundariya.b This error message was asked by @RajKumar, so keeping it as it is.")</f>
        <v/>
      </c>
      <c r="L3302" t="inlineStr">
        <is>
          <t>2025-07-28 13:20:36.952 IST</t>
        </is>
      </c>
      <c r="M3302" t="inlineStr">
        <is>
          <t>Sayan Mondal</t>
        </is>
      </c>
      <c r="N3302" t="inlineStr">
        <is>
          <t>No</t>
        </is>
      </c>
      <c r="O3302" t="inlineStr">
        <is>
          <t>Yes</t>
        </is>
      </c>
      <c r="P3302" t="inlineStr">
        <is>
          <t>Soundariya B</t>
        </is>
      </c>
      <c r="Q3302" t="inlineStr">
        <is>
          <t>Bad</t>
        </is>
      </c>
    </row>
    <row r="3303">
      <c r="A3303" t="inlineStr">
        <is>
          <t>sayan.mondal</t>
        </is>
      </c>
      <c r="B3303" t="inlineStr">
        <is>
          <t>Sayan Mondal</t>
        </is>
      </c>
      <c r="C3303" t="inlineStr">
        <is>
          <t>sayan.m@osmosys.co</t>
        </is>
      </c>
      <c r="D3303" t="inlineStr">
        <is>
          <t>incident-reporter</t>
        </is>
      </c>
      <c r="E3303">
        <f>HYPERLINK("http://gitlab.osmosys.co/incident-reporter/incident-reporter-angular-portal", "OQSHA Portal")</f>
        <v/>
      </c>
      <c r="F3303">
        <f>HYPERLINK("http://gitlab.osmosys.co/incident-reporter/incident-reporter-angular-portal/-/merge_requests/3620", "feat: add associated shifts to ptw")</f>
        <v/>
      </c>
      <c r="G3303" t="inlineStr">
        <is>
          <t>feat/ptw-shift</t>
        </is>
      </c>
      <c r="H3303" t="inlineStr">
        <is>
          <t>sprint-18</t>
        </is>
      </c>
      <c r="I3303" t="inlineStr">
        <is>
          <t>merged</t>
        </is>
      </c>
      <c r="J3303" t="inlineStr">
        <is>
          <t>1d1d5aa754def8e24e77701dc7486e0a76fe9510</t>
        </is>
      </c>
      <c r="K3303">
        <f>HYPERLINK("http://gitlab.osmosys.co/incident-reporter/incident-reporter-angular-portal/-/merge_requests/3620#note_243041", "@soundariya.b This error message was asked by @RajKumar, so keeping it as it is.")</f>
        <v/>
      </c>
      <c r="L3303" t="inlineStr">
        <is>
          <t>2025-07-28 15:18:44.706 IST</t>
        </is>
      </c>
      <c r="M3303" t="inlineStr">
        <is>
          <t>Sayan Mondal</t>
        </is>
      </c>
      <c r="N3303" t="inlineStr">
        <is>
          <t>No</t>
        </is>
      </c>
      <c r="O3303" t="inlineStr">
        <is>
          <t>Yes</t>
        </is>
      </c>
      <c r="P3303" t="inlineStr">
        <is>
          <t>Soundariya B</t>
        </is>
      </c>
      <c r="Q3303" t="inlineStr">
        <is>
          <t>Bad</t>
        </is>
      </c>
    </row>
    <row r="3304">
      <c r="A3304" t="inlineStr">
        <is>
          <t>sayan.mondal</t>
        </is>
      </c>
      <c r="B3304" t="inlineStr">
        <is>
          <t>Sayan Mondal</t>
        </is>
      </c>
      <c r="C3304" t="inlineStr">
        <is>
          <t>sayan.m@osmosys.co</t>
        </is>
      </c>
      <c r="D3304" t="inlineStr">
        <is>
          <t>incident-reporter</t>
        </is>
      </c>
      <c r="E3304">
        <f>HYPERLINK("http://gitlab.osmosys.co/incident-reporter/incident-reporter-angular-portal", "OQSHA Portal")</f>
        <v/>
      </c>
      <c r="F3304">
        <f>HYPERLINK("http://gitlab.osmosys.co/incident-reporter/incident-reporter-angular-portal/-/merge_requests/3611", "feat: add new dropdown for company users")</f>
        <v/>
      </c>
      <c r="G3304" t="inlineStr">
        <is>
          <t>feat/company-users</t>
        </is>
      </c>
      <c r="H3304" t="inlineStr">
        <is>
          <t>sprint-18</t>
        </is>
      </c>
      <c r="I3304" t="inlineStr">
        <is>
          <t>closed</t>
        </is>
      </c>
      <c r="J3304" t="inlineStr">
        <is>
          <t>23c8469520d51a6bf8520ec57699aa101d3f43b5</t>
        </is>
      </c>
      <c r="K3304">
        <f>HYPERLINK("http://gitlab.osmosys.co/incident-reporter/incident-reporter-angular-portal/-/merge_requests/3611#note_242472", "@soundariya.b  There is a common mistake in @nakshatra.b PR where there are duplicate tagToBody property which needs to be removed. So, removed it in attendance module")</f>
        <v/>
      </c>
      <c r="L3304" t="inlineStr">
        <is>
          <t>2025-07-26 08:00:18.134 IST</t>
        </is>
      </c>
      <c r="M3304" t="inlineStr">
        <is>
          <t>Sayan Mondal</t>
        </is>
      </c>
      <c r="N3304" t="inlineStr">
        <is>
          <t>No</t>
        </is>
      </c>
      <c r="O3304" t="inlineStr">
        <is>
          <t>No</t>
        </is>
      </c>
      <c r="P3304" t="inlineStr"/>
      <c r="Q3304" t="inlineStr">
        <is>
          <t>Bad</t>
        </is>
      </c>
    </row>
    <row r="3305">
      <c r="A3305" t="inlineStr">
        <is>
          <t>sayan.mondal</t>
        </is>
      </c>
      <c r="B3305" t="inlineStr">
        <is>
          <t>Sayan Mondal</t>
        </is>
      </c>
      <c r="C3305" t="inlineStr">
        <is>
          <t>sayan.m@osmosys.co</t>
        </is>
      </c>
      <c r="D3305" t="inlineStr">
        <is>
          <t>incident-reporter</t>
        </is>
      </c>
      <c r="E3305">
        <f>HYPERLINK("http://gitlab.osmosys.co/incident-reporter/incident-reporter-angular-portal", "OQSHA Portal")</f>
        <v/>
      </c>
      <c r="F3305">
        <f>HYPERLINK("http://gitlab.osmosys.co/incident-reporter/incident-reporter-angular-portal/-/merge_requests/3611", "feat: add new dropdown for company users")</f>
        <v/>
      </c>
      <c r="G3305" t="inlineStr">
        <is>
          <t>feat/company-users</t>
        </is>
      </c>
      <c r="H3305" t="inlineStr">
        <is>
          <t>sprint-18</t>
        </is>
      </c>
      <c r="I3305" t="inlineStr">
        <is>
          <t>closed</t>
        </is>
      </c>
      <c r="J3305" t="inlineStr">
        <is>
          <t>1dc95d00e987ff5d3d38adf1d5b34ae8c8fcab6f</t>
        </is>
      </c>
      <c r="K3305">
        <f>HYPERLINK("http://gitlab.osmosys.co/incident-reporter/incident-reporter-angular-portal/-/merge_requests/3611#note_242901", "Merge conflicts")</f>
        <v/>
      </c>
      <c r="L3305" t="inlineStr">
        <is>
          <t>2025-07-28 13:10:47.588 IST</t>
        </is>
      </c>
      <c r="M3305" t="inlineStr">
        <is>
          <t>Soundariya B</t>
        </is>
      </c>
      <c r="N3305" t="inlineStr">
        <is>
          <t>Yes</t>
        </is>
      </c>
      <c r="O3305" t="inlineStr">
        <is>
          <t>Yes</t>
        </is>
      </c>
      <c r="P3305" t="inlineStr">
        <is>
          <t>Soundariya B</t>
        </is>
      </c>
      <c r="Q3305" t="inlineStr">
        <is>
          <t>Bad</t>
        </is>
      </c>
    </row>
    <row r="3306">
      <c r="A3306" t="inlineStr">
        <is>
          <t>sayan.mondal</t>
        </is>
      </c>
      <c r="B3306" t="inlineStr">
        <is>
          <t>Sayan Mondal</t>
        </is>
      </c>
      <c r="C3306" t="inlineStr">
        <is>
          <t>sayan.m@osmosys.co</t>
        </is>
      </c>
      <c r="D3306" t="inlineStr">
        <is>
          <t>incident-reporter</t>
        </is>
      </c>
      <c r="E3306">
        <f>HYPERLINK("http://gitlab.osmosys.co/incident-reporter/incident-reporter-angular-portal", "OQSHA Portal")</f>
        <v/>
      </c>
      <c r="F3306">
        <f>HYPERLINK("http://gitlab.osmosys.co/incident-reporter/incident-reporter-angular-portal/-/merge_requests/3611", "feat: add new dropdown for company users")</f>
        <v/>
      </c>
      <c r="G3306" t="inlineStr">
        <is>
          <t>feat/company-users</t>
        </is>
      </c>
      <c r="H3306" t="inlineStr">
        <is>
          <t>sprint-18</t>
        </is>
      </c>
      <c r="I3306" t="inlineStr">
        <is>
          <t>closed</t>
        </is>
      </c>
      <c r="J3306" t="inlineStr">
        <is>
          <t>1dc95d00e987ff5d3d38adf1d5b34ae8c8fcab6f</t>
        </is>
      </c>
      <c r="K3306">
        <f>HYPERLINK("http://gitlab.osmosys.co/incident-reporter/incident-reporter-angular-portal/-/merge_requests/3611#note_243089", "Resolved")</f>
        <v/>
      </c>
      <c r="L3306" t="inlineStr">
        <is>
          <t>2025-07-28 16:11:00.312 IST</t>
        </is>
      </c>
      <c r="M3306" t="inlineStr">
        <is>
          <t>Sayan Mondal</t>
        </is>
      </c>
      <c r="N3306" t="inlineStr">
        <is>
          <t>No</t>
        </is>
      </c>
      <c r="O3306" t="inlineStr">
        <is>
          <t>Yes</t>
        </is>
      </c>
      <c r="P3306" t="inlineStr">
        <is>
          <t>Soundariya B</t>
        </is>
      </c>
      <c r="Q3306" t="inlineStr">
        <is>
          <t>Bad</t>
        </is>
      </c>
    </row>
    <row r="3307">
      <c r="A3307" t="inlineStr">
        <is>
          <t>sayan.mondal</t>
        </is>
      </c>
      <c r="B3307" t="inlineStr">
        <is>
          <t>Sayan Mondal</t>
        </is>
      </c>
      <c r="C3307" t="inlineStr">
        <is>
          <t>sayan.m@osmosys.co</t>
        </is>
      </c>
      <c r="D3307" t="inlineStr">
        <is>
          <t>incident-reporter</t>
        </is>
      </c>
      <c r="E3307">
        <f>HYPERLINK("http://gitlab.osmosys.co/incident-reporter/incident-reporter-angular-portal", "OQSHA Portal")</f>
        <v/>
      </c>
      <c r="F3307">
        <f>HYPERLINK("http://gitlab.osmosys.co/incident-reporter/incident-reporter-angular-portal/-/merge_requests/3611", "feat: add new dropdown for company users")</f>
        <v/>
      </c>
      <c r="G3307" t="inlineStr">
        <is>
          <t>feat/company-users</t>
        </is>
      </c>
      <c r="H3307" t="inlineStr">
        <is>
          <t>sprint-18</t>
        </is>
      </c>
      <c r="I3307" t="inlineStr">
        <is>
          <t>closed</t>
        </is>
      </c>
      <c r="J3307" t="inlineStr">
        <is>
          <t>5144f86dcafd78622e874f68ed64fa5d4906f58f</t>
        </is>
      </c>
      <c r="K3307">
        <f>HYPERLINK("http://gitlab.osmosys.co/incident-reporter/incident-reporter-angular-portal/-/merge_requests/3611#note_242902", "Attached test case file link is invalid")</f>
        <v/>
      </c>
      <c r="L3307" t="inlineStr">
        <is>
          <t>2025-07-28 13:10:47.623 IST</t>
        </is>
      </c>
      <c r="M3307" t="inlineStr">
        <is>
          <t>Soundariya B</t>
        </is>
      </c>
      <c r="N3307" t="inlineStr">
        <is>
          <t>Yes</t>
        </is>
      </c>
      <c r="O3307" t="inlineStr">
        <is>
          <t>Yes</t>
        </is>
      </c>
      <c r="P3307" t="inlineStr">
        <is>
          <t>Soundariya B</t>
        </is>
      </c>
      <c r="Q3307" t="inlineStr">
        <is>
          <t>Bad</t>
        </is>
      </c>
    </row>
    <row r="3308">
      <c r="A3308" t="inlineStr">
        <is>
          <t>sayan.mondal</t>
        </is>
      </c>
      <c r="B3308" t="inlineStr">
        <is>
          <t>Sayan Mondal</t>
        </is>
      </c>
      <c r="C3308" t="inlineStr">
        <is>
          <t>sayan.m@osmosys.co</t>
        </is>
      </c>
      <c r="D3308" t="inlineStr">
        <is>
          <t>incident-reporter</t>
        </is>
      </c>
      <c r="E3308">
        <f>HYPERLINK("http://gitlab.osmosys.co/incident-reporter/incident-reporter-angular-portal", "OQSHA Portal")</f>
        <v/>
      </c>
      <c r="F3308">
        <f>HYPERLINK("http://gitlab.osmosys.co/incident-reporter/incident-reporter-angular-portal/-/merge_requests/3611", "feat: add new dropdown for company users")</f>
        <v/>
      </c>
      <c r="G3308" t="inlineStr">
        <is>
          <t>feat/company-users</t>
        </is>
      </c>
      <c r="H3308" t="inlineStr">
        <is>
          <t>sprint-18</t>
        </is>
      </c>
      <c r="I3308" t="inlineStr">
        <is>
          <t>closed</t>
        </is>
      </c>
      <c r="J3308" t="inlineStr">
        <is>
          <t>b0ad70cfb5db828f6887d3fb7208932cc3603526</t>
        </is>
      </c>
      <c r="K3308">
        <f>HYPERLINK("http://gitlab.osmosys.co/incident-reporter/incident-reporter-angular-portal/-/merge_requests/3611#note_242903", "Add a tooltip for contractor user why it is how it will work with that field")</f>
        <v/>
      </c>
      <c r="L3308" t="inlineStr">
        <is>
          <t>2025-07-28 13:10:47.649 IST</t>
        </is>
      </c>
      <c r="M3308" t="inlineStr">
        <is>
          <t>Soundariya B</t>
        </is>
      </c>
      <c r="N3308" t="inlineStr">
        <is>
          <t>Yes</t>
        </is>
      </c>
      <c r="O3308" t="inlineStr">
        <is>
          <t>Yes</t>
        </is>
      </c>
      <c r="P3308" t="inlineStr">
        <is>
          <t>Soundariya B</t>
        </is>
      </c>
      <c r="Q3308" t="inlineStr">
        <is>
          <t>Bad</t>
        </is>
      </c>
    </row>
    <row r="3309">
      <c r="A3309" t="inlineStr">
        <is>
          <t>sayan.mondal</t>
        </is>
      </c>
      <c r="B3309" t="inlineStr">
        <is>
          <t>Sayan Mondal</t>
        </is>
      </c>
      <c r="C3309" t="inlineStr">
        <is>
          <t>sayan.m@osmosys.co</t>
        </is>
      </c>
      <c r="D3309" t="inlineStr">
        <is>
          <t>incident-reporter</t>
        </is>
      </c>
      <c r="E3309">
        <f>HYPERLINK("http://gitlab.osmosys.co/incident-reporter/incident-reporter-angular-portal", "OQSHA Portal")</f>
        <v/>
      </c>
      <c r="F3309">
        <f>HYPERLINK("http://gitlab.osmosys.co/incident-reporter/incident-reporter-angular-portal/-/merge_requests/3611", "feat: add new dropdown for company users")</f>
        <v/>
      </c>
      <c r="G3309" t="inlineStr">
        <is>
          <t>feat/company-users</t>
        </is>
      </c>
      <c r="H3309" t="inlineStr">
        <is>
          <t>sprint-18</t>
        </is>
      </c>
      <c r="I3309" t="inlineStr">
        <is>
          <t>closed</t>
        </is>
      </c>
      <c r="J3309" t="inlineStr">
        <is>
          <t>b0ad70cfb5db828f6887d3fb7208932cc3603526</t>
        </is>
      </c>
      <c r="K3309">
        <f>HYPERLINK("http://gitlab.osmosys.co/incident-reporter/incident-reporter-angular-portal/-/merge_requests/3611#note_243088", "No info given for that by @RajKumar, if it is asked will surely add.")</f>
        <v/>
      </c>
      <c r="L3309" t="inlineStr">
        <is>
          <t>2025-07-28 16:10:55.264 IST</t>
        </is>
      </c>
      <c r="M3309" t="inlineStr">
        <is>
          <t>Sayan Mondal</t>
        </is>
      </c>
      <c r="N3309" t="inlineStr">
        <is>
          <t>No</t>
        </is>
      </c>
      <c r="O3309" t="inlineStr">
        <is>
          <t>Yes</t>
        </is>
      </c>
      <c r="P3309" t="inlineStr">
        <is>
          <t>Soundariya B</t>
        </is>
      </c>
      <c r="Q3309" t="inlineStr">
        <is>
          <t>Bad</t>
        </is>
      </c>
    </row>
    <row r="3310">
      <c r="A3310" t="inlineStr">
        <is>
          <t>sayan.mondal</t>
        </is>
      </c>
      <c r="B3310" t="inlineStr">
        <is>
          <t>Sayan Mondal</t>
        </is>
      </c>
      <c r="C3310" t="inlineStr">
        <is>
          <t>sayan.m@osmosys.co</t>
        </is>
      </c>
      <c r="D3310" t="inlineStr">
        <is>
          <t>incident-reporter</t>
        </is>
      </c>
      <c r="E3310">
        <f>HYPERLINK("http://gitlab.osmosys.co/incident-reporter/incident-reporter-angular-portal", "OQSHA Portal")</f>
        <v/>
      </c>
      <c r="F3310">
        <f>HYPERLINK("http://gitlab.osmosys.co/incident-reporter/incident-reporter-angular-portal/-/merge_requests/3611", "feat: add new dropdown for company users")</f>
        <v/>
      </c>
      <c r="G3310" t="inlineStr">
        <is>
          <t>feat/company-users</t>
        </is>
      </c>
      <c r="H3310" t="inlineStr">
        <is>
          <t>sprint-18</t>
        </is>
      </c>
      <c r="I3310" t="inlineStr">
        <is>
          <t>closed</t>
        </is>
      </c>
      <c r="J3310" t="inlineStr">
        <is>
          <t>0ab7adf2c1abc31906f5c0c1a746fccdc20fa7e3</t>
        </is>
      </c>
      <c r="K3310">
        <f>HYPERLINK("http://gitlab.osmosys.co/incident-reporter/incident-reporter-angular-portal/-/merge_requests/3611#note_242904", "This is enough - ALLOW_COMPANY_USERS")</f>
        <v/>
      </c>
      <c r="L3310" t="inlineStr">
        <is>
          <t>2025-07-28 13:10:47.696 IST</t>
        </is>
      </c>
      <c r="M3310" t="inlineStr">
        <is>
          <t>Soundariya B</t>
        </is>
      </c>
      <c r="N3310" t="inlineStr">
        <is>
          <t>Yes</t>
        </is>
      </c>
      <c r="O3310" t="inlineStr">
        <is>
          <t>Yes</t>
        </is>
      </c>
      <c r="P3310" t="inlineStr">
        <is>
          <t>Soundariya B</t>
        </is>
      </c>
      <c r="Q3310" t="inlineStr">
        <is>
          <t>Neutral</t>
        </is>
      </c>
    </row>
    <row r="3311">
      <c r="A3311" t="inlineStr">
        <is>
          <t>sayan.mondal</t>
        </is>
      </c>
      <c r="B3311" t="inlineStr">
        <is>
          <t>Sayan Mondal</t>
        </is>
      </c>
      <c r="C3311" t="inlineStr">
        <is>
          <t>sayan.m@osmosys.co</t>
        </is>
      </c>
      <c r="D3311" t="inlineStr">
        <is>
          <t>incident-reporter</t>
        </is>
      </c>
      <c r="E3311">
        <f>HYPERLINK("http://gitlab.osmosys.co/incident-reporter/incident-reporter-angular-portal", "OQSHA Portal")</f>
        <v/>
      </c>
      <c r="F3311">
        <f>HYPERLINK("http://gitlab.osmosys.co/incident-reporter/incident-reporter-angular-portal/-/merge_requests/3611", "feat: add new dropdown for company users")</f>
        <v/>
      </c>
      <c r="G3311" t="inlineStr">
        <is>
          <t>feat/company-users</t>
        </is>
      </c>
      <c r="H3311" t="inlineStr">
        <is>
          <t>sprint-18</t>
        </is>
      </c>
      <c r="I3311" t="inlineStr">
        <is>
          <t>closed</t>
        </is>
      </c>
      <c r="J3311" t="inlineStr">
        <is>
          <t>3a9b8bb484110c4994e83f18c1646855a59dced8</t>
        </is>
      </c>
      <c r="K3311">
        <f>HYPERLINK("http://gitlab.osmosys.co/incident-reporter/incident-reporter-angular-portal/-/merge_requests/3611#note_242905", "Add prefix - lbl to classname")</f>
        <v/>
      </c>
      <c r="L3311" t="inlineStr">
        <is>
          <t>2025-07-28 13:10:47.771 IST</t>
        </is>
      </c>
      <c r="M3311" t="inlineStr">
        <is>
          <t>Soundariya B</t>
        </is>
      </c>
      <c r="N3311" t="inlineStr">
        <is>
          <t>Yes</t>
        </is>
      </c>
      <c r="O3311" t="inlineStr">
        <is>
          <t>Yes</t>
        </is>
      </c>
      <c r="P3311" t="inlineStr">
        <is>
          <t>Soundariya B</t>
        </is>
      </c>
      <c r="Q3311" t="inlineStr">
        <is>
          <t>Bad</t>
        </is>
      </c>
    </row>
    <row r="3312">
      <c r="A3312" t="inlineStr">
        <is>
          <t>sayan.mondal</t>
        </is>
      </c>
      <c r="B3312" t="inlineStr">
        <is>
          <t>Sayan Mondal</t>
        </is>
      </c>
      <c r="C3312" t="inlineStr">
        <is>
          <t>sayan.m@osmosys.co</t>
        </is>
      </c>
      <c r="D3312" t="inlineStr">
        <is>
          <t>incident-reporter</t>
        </is>
      </c>
      <c r="E3312">
        <f>HYPERLINK("http://gitlab.osmosys.co/incident-reporter/incident-reporter-angular-portal", "OQSHA Portal")</f>
        <v/>
      </c>
      <c r="F3312">
        <f>HYPERLINK("http://gitlab.osmosys.co/incident-reporter/incident-reporter-angular-portal/-/merge_requests/3611", "feat: add new dropdown for company users")</f>
        <v/>
      </c>
      <c r="G3312" t="inlineStr">
        <is>
          <t>feat/company-users</t>
        </is>
      </c>
      <c r="H3312" t="inlineStr">
        <is>
          <t>sprint-18</t>
        </is>
      </c>
      <c r="I3312" t="inlineStr">
        <is>
          <t>closed</t>
        </is>
      </c>
      <c r="J3312" t="inlineStr">
        <is>
          <t>5bfc434b4f933bd0d66d84e67e8a93680e495cc0</t>
        </is>
      </c>
      <c r="K3312">
        <f>HYPERLINK("http://gitlab.osmosys.co/incident-reporter/incident-reporter-angular-portal/-/merge_requests/3611#note_242906", "On UI naming as contractor user so please use allowContractorUser which will reduce confusion")</f>
        <v/>
      </c>
      <c r="L3312" t="inlineStr">
        <is>
          <t>2025-07-28 13:10:47.843 IST</t>
        </is>
      </c>
      <c r="M3312" t="inlineStr">
        <is>
          <t>Soundariya B</t>
        </is>
      </c>
      <c r="N3312" t="inlineStr">
        <is>
          <t>Yes</t>
        </is>
      </c>
      <c r="O3312" t="inlineStr">
        <is>
          <t>Yes</t>
        </is>
      </c>
      <c r="P3312" t="inlineStr">
        <is>
          <t>Soundariya B</t>
        </is>
      </c>
      <c r="Q3312" t="inlineStr">
        <is>
          <t>Bad</t>
        </is>
      </c>
    </row>
    <row r="3313">
      <c r="A3313" t="inlineStr">
        <is>
          <t>sayan.mondal</t>
        </is>
      </c>
      <c r="B3313" t="inlineStr">
        <is>
          <t>Sayan Mondal</t>
        </is>
      </c>
      <c r="C3313" t="inlineStr">
        <is>
          <t>sayan.m@osmosys.co</t>
        </is>
      </c>
      <c r="D3313" t="inlineStr">
        <is>
          <t>incident-reporter</t>
        </is>
      </c>
      <c r="E3313">
        <f>HYPERLINK("http://gitlab.osmosys.co/incident-reporter/incident-reporter-angular-portal", "OQSHA Portal")</f>
        <v/>
      </c>
      <c r="F3313">
        <f>HYPERLINK("http://gitlab.osmosys.co/incident-reporter/incident-reporter-angular-portal/-/merge_requests/3611", "feat: add new dropdown for company users")</f>
        <v/>
      </c>
      <c r="G3313" t="inlineStr">
        <is>
          <t>feat/company-users</t>
        </is>
      </c>
      <c r="H3313" t="inlineStr">
        <is>
          <t>sprint-18</t>
        </is>
      </c>
      <c r="I3313" t="inlineStr">
        <is>
          <t>closed</t>
        </is>
      </c>
      <c r="J3313" t="inlineStr">
        <is>
          <t>f188b76a029389b75ca0c4783d79813ef196c0a0</t>
        </is>
      </c>
      <c r="K3313">
        <f>HYPERLINK("http://gitlab.osmosys.co/incident-reporter/incident-reporter-angular-portal/-/merge_requests/3611#note_242907", "More than 1 time using please reuse it")</f>
        <v/>
      </c>
      <c r="L3313" t="inlineStr">
        <is>
          <t>2025-07-28 13:10:47.898 IST</t>
        </is>
      </c>
      <c r="M3313" t="inlineStr">
        <is>
          <t>Soundariya B</t>
        </is>
      </c>
      <c r="N3313" t="inlineStr">
        <is>
          <t>Yes</t>
        </is>
      </c>
      <c r="O3313" t="inlineStr">
        <is>
          <t>Yes</t>
        </is>
      </c>
      <c r="P3313" t="inlineStr">
        <is>
          <t>Soundariya B</t>
        </is>
      </c>
      <c r="Q3313" t="inlineStr">
        <is>
          <t>Bad</t>
        </is>
      </c>
    </row>
    <row r="3314">
      <c r="A3314" t="inlineStr">
        <is>
          <t>sayan.mondal</t>
        </is>
      </c>
      <c r="B3314" t="inlineStr">
        <is>
          <t>Sayan Mondal</t>
        </is>
      </c>
      <c r="C3314" t="inlineStr">
        <is>
          <t>sayan.m@osmosys.co</t>
        </is>
      </c>
      <c r="D3314" t="inlineStr">
        <is>
          <t>incident-reporter</t>
        </is>
      </c>
      <c r="E3314">
        <f>HYPERLINK("http://gitlab.osmosys.co/incident-reporter/incident-reporter-angular-portal", "OQSHA Portal")</f>
        <v/>
      </c>
      <c r="F3314">
        <f>HYPERLINK("http://gitlab.osmosys.co/incident-reporter/incident-reporter-angular-portal/-/merge_requests/3611", "feat: add new dropdown for company users")</f>
        <v/>
      </c>
      <c r="G3314" t="inlineStr">
        <is>
          <t>feat/company-users</t>
        </is>
      </c>
      <c r="H3314" t="inlineStr">
        <is>
          <t>sprint-18</t>
        </is>
      </c>
      <c r="I3314" t="inlineStr">
        <is>
          <t>closed</t>
        </is>
      </c>
      <c r="J3314" t="inlineStr">
        <is>
          <t>66417fbcca971033b2c5c4e8d268d9df8b4b8f89</t>
        </is>
      </c>
      <c r="K3314">
        <f>HYPERLINK("http://gitlab.osmosys.co/incident-reporter/incident-reporter-angular-portal/-/merge_requests/3611#note_242908", "This is also known as inline css so please try to use the CSS with classname from external CSS file")</f>
        <v/>
      </c>
      <c r="L3314" t="inlineStr">
        <is>
          <t>2025-07-28 13:10:47.957 IST</t>
        </is>
      </c>
      <c r="M3314" t="inlineStr">
        <is>
          <t>Soundariya B</t>
        </is>
      </c>
      <c r="N3314" t="inlineStr">
        <is>
          <t>Yes</t>
        </is>
      </c>
      <c r="O3314" t="inlineStr">
        <is>
          <t>Yes</t>
        </is>
      </c>
      <c r="P3314" t="inlineStr">
        <is>
          <t>Soundariya B</t>
        </is>
      </c>
      <c r="Q3314" t="inlineStr">
        <is>
          <t>Bad</t>
        </is>
      </c>
    </row>
    <row r="3315">
      <c r="A3315" t="inlineStr">
        <is>
          <t>sayan.mondal</t>
        </is>
      </c>
      <c r="B3315" t="inlineStr">
        <is>
          <t>Sayan Mondal</t>
        </is>
      </c>
      <c r="C3315" t="inlineStr">
        <is>
          <t>sayan.m@osmosys.co</t>
        </is>
      </c>
      <c r="D3315" t="inlineStr">
        <is>
          <t>incident-reporter</t>
        </is>
      </c>
      <c r="E3315">
        <f>HYPERLINK("http://gitlab.osmosys.co/incident-reporter/incident-reporter-angular-portal", "OQSHA Portal")</f>
        <v/>
      </c>
      <c r="F3315">
        <f>HYPERLINK("http://gitlab.osmosys.co/incident-reporter/incident-reporter-angular-portal/-/merge_requests/3611", "feat: add new dropdown for company users")</f>
        <v/>
      </c>
      <c r="G3315" t="inlineStr">
        <is>
          <t>feat/company-users</t>
        </is>
      </c>
      <c r="H3315" t="inlineStr">
        <is>
          <t>sprint-18</t>
        </is>
      </c>
      <c r="I3315" t="inlineStr">
        <is>
          <t>closed</t>
        </is>
      </c>
      <c r="J3315" t="inlineStr">
        <is>
          <t>57a48cb1e0385607f03569be349844693dd2cacf</t>
        </is>
      </c>
      <c r="K3315">
        <f>HYPERLINK("http://gitlab.osmosys.co/incident-reporter/incident-reporter-angular-portal/-/merge_requests/3611#note_242909", "It should be userCheckList or user")</f>
        <v/>
      </c>
      <c r="L3315" t="inlineStr">
        <is>
          <t>2025-07-28 13:10:48.033 IST</t>
        </is>
      </c>
      <c r="M3315" t="inlineStr">
        <is>
          <t>Soundariya B</t>
        </is>
      </c>
      <c r="N3315" t="inlineStr">
        <is>
          <t>Yes</t>
        </is>
      </c>
      <c r="O3315" t="inlineStr">
        <is>
          <t>Yes</t>
        </is>
      </c>
      <c r="P3315" t="inlineStr">
        <is>
          <t>Soundariya B</t>
        </is>
      </c>
      <c r="Q3315" t="inlineStr">
        <is>
          <t>Bad</t>
        </is>
      </c>
    </row>
    <row r="3316">
      <c r="A3316" t="inlineStr">
        <is>
          <t>sayan.mondal</t>
        </is>
      </c>
      <c r="B3316" t="inlineStr">
        <is>
          <t>Sayan Mondal</t>
        </is>
      </c>
      <c r="C3316" t="inlineStr">
        <is>
          <t>sayan.m@osmosys.co</t>
        </is>
      </c>
      <c r="D3316" t="inlineStr">
        <is>
          <t>incident-reporter</t>
        </is>
      </c>
      <c r="E3316">
        <f>HYPERLINK("http://gitlab.osmosys.co/incident-reporter/incident-reporter-angular-portal", "OQSHA Portal")</f>
        <v/>
      </c>
      <c r="F3316">
        <f>HYPERLINK("http://gitlab.osmosys.co/incident-reporter/incident-reporter-angular-portal/-/merge_requests/3611", "feat: add new dropdown for company users")</f>
        <v/>
      </c>
      <c r="G3316" t="inlineStr">
        <is>
          <t>feat/company-users</t>
        </is>
      </c>
      <c r="H3316" t="inlineStr">
        <is>
          <t>sprint-18</t>
        </is>
      </c>
      <c r="I3316" t="inlineStr">
        <is>
          <t>closed</t>
        </is>
      </c>
      <c r="J3316" t="inlineStr">
        <is>
          <t>2a6396c334442e41a6bb783ae08831f1aabfdc2f</t>
        </is>
      </c>
      <c r="K3316">
        <f>HYPERLINK("http://gitlab.osmosys.co/incident-reporter/incident-reporter-angular-portal/-/merge_requests/3611#note_242910", "Duplicate ones please remove it")</f>
        <v/>
      </c>
      <c r="L3316" t="inlineStr">
        <is>
          <t>2025-07-28 13:10:48.100 IST</t>
        </is>
      </c>
      <c r="M3316" t="inlineStr">
        <is>
          <t>Soundariya B</t>
        </is>
      </c>
      <c r="N3316" t="inlineStr">
        <is>
          <t>Yes</t>
        </is>
      </c>
      <c r="O3316" t="inlineStr">
        <is>
          <t>Yes</t>
        </is>
      </c>
      <c r="P3316" t="inlineStr">
        <is>
          <t>Soundariya B</t>
        </is>
      </c>
      <c r="Q3316" t="inlineStr">
        <is>
          <t>Bad</t>
        </is>
      </c>
    </row>
    <row r="3317">
      <c r="A3317" t="inlineStr">
        <is>
          <t>sayan.mondal</t>
        </is>
      </c>
      <c r="B3317" t="inlineStr">
        <is>
          <t>Sayan Mondal</t>
        </is>
      </c>
      <c r="C3317" t="inlineStr">
        <is>
          <t>sayan.m@osmosys.co</t>
        </is>
      </c>
      <c r="D3317" t="inlineStr">
        <is>
          <t>incident-reporter</t>
        </is>
      </c>
      <c r="E3317">
        <f>HYPERLINK("http://gitlab.osmosys.co/incident-reporter/incident-reporter-angular-portal", "OQSHA Portal")</f>
        <v/>
      </c>
      <c r="F3317">
        <f>HYPERLINK("http://gitlab.osmosys.co/incident-reporter/incident-reporter-angular-portal/-/merge_requests/3611", "feat: add new dropdown for company users")</f>
        <v/>
      </c>
      <c r="G3317" t="inlineStr">
        <is>
          <t>feat/company-users</t>
        </is>
      </c>
      <c r="H3317" t="inlineStr">
        <is>
          <t>sprint-18</t>
        </is>
      </c>
      <c r="I3317" t="inlineStr">
        <is>
          <t>closed</t>
        </is>
      </c>
      <c r="J3317" t="inlineStr">
        <is>
          <t>d1ffcf91d38ca0808bb8f2e5316257dcfd37dbd5</t>
        </is>
      </c>
      <c r="K3317">
        <f>HYPERLINK("http://gitlab.osmosys.co/incident-reporter/incident-reporter-angular-portal/-/merge_requests/3611#note_242911", "This is using more than 1 time can you please improve and reuse it")</f>
        <v/>
      </c>
      <c r="L3317" t="inlineStr">
        <is>
          <t>2025-07-28 13:10:48.183 IST</t>
        </is>
      </c>
      <c r="M3317" t="inlineStr">
        <is>
          <t>Soundariya B</t>
        </is>
      </c>
      <c r="N3317" t="inlineStr">
        <is>
          <t>Yes</t>
        </is>
      </c>
      <c r="O3317" t="inlineStr">
        <is>
          <t>Yes</t>
        </is>
      </c>
      <c r="P3317" t="inlineStr">
        <is>
          <t>Soundariya B</t>
        </is>
      </c>
      <c r="Q3317" t="inlineStr">
        <is>
          <t>Neutral</t>
        </is>
      </c>
    </row>
    <row r="3318">
      <c r="A3318" t="inlineStr">
        <is>
          <t>sayan.mondal</t>
        </is>
      </c>
      <c r="B3318" t="inlineStr">
        <is>
          <t>Sayan Mondal</t>
        </is>
      </c>
      <c r="C3318" t="inlineStr">
        <is>
          <t>sayan.m@osmosys.co</t>
        </is>
      </c>
      <c r="D3318" t="inlineStr">
        <is>
          <t>incident-reporter</t>
        </is>
      </c>
      <c r="E3318">
        <f>HYPERLINK("http://gitlab.osmosys.co/incident-reporter/incident-reporter-angular-portal", "OQSHA Portal")</f>
        <v/>
      </c>
      <c r="F3318">
        <f>HYPERLINK("http://gitlab.osmosys.co/incident-reporter/incident-reporter-angular-portal/-/merge_requests/3611", "feat: add new dropdown for company users")</f>
        <v/>
      </c>
      <c r="G3318" t="inlineStr">
        <is>
          <t>feat/company-users</t>
        </is>
      </c>
      <c r="H3318" t="inlineStr">
        <is>
          <t>sprint-18</t>
        </is>
      </c>
      <c r="I3318" t="inlineStr">
        <is>
          <t>closed</t>
        </is>
      </c>
      <c r="J3318" t="inlineStr">
        <is>
          <t>d1ffcf91d38ca0808bb8f2e5316257dcfd37dbd5</t>
        </is>
      </c>
      <c r="K3318">
        <f>HYPERLINK("http://gitlab.osmosys.co/incident-reporter/incident-reporter-angular-portal/-/merge_requests/3611#note_243107", "This is consistent with all the other old code, so can keep for now. Can make improvement later on")</f>
        <v/>
      </c>
      <c r="L3318" t="inlineStr">
        <is>
          <t>2025-07-28 16:41:38.411 IST</t>
        </is>
      </c>
      <c r="M3318" t="inlineStr">
        <is>
          <t>Sayan Mondal</t>
        </is>
      </c>
      <c r="N3318" t="inlineStr">
        <is>
          <t>No</t>
        </is>
      </c>
      <c r="O3318" t="inlineStr">
        <is>
          <t>Yes</t>
        </is>
      </c>
      <c r="P3318" t="inlineStr">
        <is>
          <t>Soundariya B</t>
        </is>
      </c>
      <c r="Q3318" t="inlineStr">
        <is>
          <t>Neutral</t>
        </is>
      </c>
    </row>
    <row r="3319">
      <c r="A3319" t="inlineStr">
        <is>
          <t>sayan.mondal</t>
        </is>
      </c>
      <c r="B3319" t="inlineStr">
        <is>
          <t>Sayan Mondal</t>
        </is>
      </c>
      <c r="C3319" t="inlineStr">
        <is>
          <t>sayan.m@osmosys.co</t>
        </is>
      </c>
      <c r="D3319" t="inlineStr">
        <is>
          <t>incident-reporter</t>
        </is>
      </c>
      <c r="E3319">
        <f>HYPERLINK("http://gitlab.osmosys.co/incident-reporter/incident-reporter-angular-portal", "OQSHA Portal")</f>
        <v/>
      </c>
      <c r="F3319">
        <f>HYPERLINK("http://gitlab.osmosys.co/incident-reporter/incident-reporter-angular-portal/-/merge_requests/3611", "feat: add new dropdown for company users")</f>
        <v/>
      </c>
      <c r="G3319" t="inlineStr">
        <is>
          <t>feat/company-users</t>
        </is>
      </c>
      <c r="H3319" t="inlineStr">
        <is>
          <t>sprint-18</t>
        </is>
      </c>
      <c r="I3319" t="inlineStr">
        <is>
          <t>closed</t>
        </is>
      </c>
      <c r="J3319" t="inlineStr">
        <is>
          <t>580bee766820df93efa5d5d8d7b1063ecd06c51d</t>
        </is>
      </c>
      <c r="K3319">
        <f>HYPERLINK("http://gitlab.osmosys.co/incident-reporter/incident-reporter-angular-portal/-/merge_requests/3611#note_242912", "This is using more than 1 time can you please improve and reuse it")</f>
        <v/>
      </c>
      <c r="L3319" t="inlineStr">
        <is>
          <t>2025-07-28 13:10:48.245 IST</t>
        </is>
      </c>
      <c r="M3319" t="inlineStr">
        <is>
          <t>Soundariya B</t>
        </is>
      </c>
      <c r="N3319" t="inlineStr">
        <is>
          <t>Yes</t>
        </is>
      </c>
      <c r="O3319" t="inlineStr">
        <is>
          <t>Yes</t>
        </is>
      </c>
      <c r="P3319" t="inlineStr">
        <is>
          <t>Soundariya B</t>
        </is>
      </c>
      <c r="Q3319" t="inlineStr">
        <is>
          <t>Bad</t>
        </is>
      </c>
    </row>
    <row r="3320">
      <c r="A3320" t="inlineStr">
        <is>
          <t>sayan.mondal</t>
        </is>
      </c>
      <c r="B3320" t="inlineStr">
        <is>
          <t>Sayan Mondal</t>
        </is>
      </c>
      <c r="C3320" t="inlineStr">
        <is>
          <t>sayan.m@osmosys.co</t>
        </is>
      </c>
      <c r="D3320" t="inlineStr">
        <is>
          <t>incident-reporter</t>
        </is>
      </c>
      <c r="E3320">
        <f>HYPERLINK("http://gitlab.osmosys.co/incident-reporter/incident-reporter-angular-portal", "OQSHA Portal")</f>
        <v/>
      </c>
      <c r="F3320">
        <f>HYPERLINK("http://gitlab.osmosys.co/incident-reporter/incident-reporter-angular-portal/-/merge_requests/3611", "feat: add new dropdown for company users")</f>
        <v/>
      </c>
      <c r="G3320" t="inlineStr">
        <is>
          <t>feat/company-users</t>
        </is>
      </c>
      <c r="H3320" t="inlineStr">
        <is>
          <t>sprint-18</t>
        </is>
      </c>
      <c r="I3320" t="inlineStr">
        <is>
          <t>closed</t>
        </is>
      </c>
      <c r="J3320" t="inlineStr">
        <is>
          <t>890506430896e42361f4cf28799b8e79c46816e6</t>
        </is>
      </c>
      <c r="K3320">
        <f>HYPERLINK("http://gitlab.osmosys.co/incident-reporter/incident-reporter-angular-portal/-/merge_requests/3611#note_242913", "It should be - Company user(s)")</f>
        <v/>
      </c>
      <c r="L3320" t="inlineStr">
        <is>
          <t>2025-07-28 13:10:48.328 IST</t>
        </is>
      </c>
      <c r="M3320" t="inlineStr">
        <is>
          <t>Soundariya B</t>
        </is>
      </c>
      <c r="N3320" t="inlineStr">
        <is>
          <t>Yes</t>
        </is>
      </c>
      <c r="O3320" t="inlineStr">
        <is>
          <t>Yes</t>
        </is>
      </c>
      <c r="P3320" t="inlineStr">
        <is>
          <t>Soundariya B</t>
        </is>
      </c>
      <c r="Q3320" t="inlineStr">
        <is>
          <t>Bad</t>
        </is>
      </c>
    </row>
    <row r="3321">
      <c r="A3321" t="inlineStr">
        <is>
          <t>sayan.mondal</t>
        </is>
      </c>
      <c r="B3321" t="inlineStr">
        <is>
          <t>Sayan Mondal</t>
        </is>
      </c>
      <c r="C3321" t="inlineStr">
        <is>
          <t>sayan.m@osmosys.co</t>
        </is>
      </c>
      <c r="D3321" t="inlineStr">
        <is>
          <t>incident-reporter</t>
        </is>
      </c>
      <c r="E3321">
        <f>HYPERLINK("http://gitlab.osmosys.co/incident-reporter/incident-reporter-angular-portal", "OQSHA Portal")</f>
        <v/>
      </c>
      <c r="F3321">
        <f>HYPERLINK("http://gitlab.osmosys.co/incident-reporter/incident-reporter-angular-portal/-/merge_requests/3611", "feat: add new dropdown for company users")</f>
        <v/>
      </c>
      <c r="G3321" t="inlineStr">
        <is>
          <t>feat/company-users</t>
        </is>
      </c>
      <c r="H3321" t="inlineStr">
        <is>
          <t>sprint-18</t>
        </is>
      </c>
      <c r="I3321" t="inlineStr">
        <is>
          <t>closed</t>
        </is>
      </c>
      <c r="J3321" t="inlineStr">
        <is>
          <t>2f22cbe9850c801b85dd1a680074419676219503</t>
        </is>
      </c>
      <c r="K3321">
        <f>HYPERLINK("http://gitlab.osmosys.co/incident-reporter/incident-reporter-angular-portal/-/merge_requests/3611#note_242914", "Same here")</f>
        <v/>
      </c>
      <c r="L3321" t="inlineStr">
        <is>
          <t>2025-07-28 13:10:48.385 IST</t>
        </is>
      </c>
      <c r="M3321" t="inlineStr">
        <is>
          <t>Soundariya B</t>
        </is>
      </c>
      <c r="N3321" t="inlineStr">
        <is>
          <t>Yes</t>
        </is>
      </c>
      <c r="O3321" t="inlineStr">
        <is>
          <t>Yes</t>
        </is>
      </c>
      <c r="P3321" t="inlineStr">
        <is>
          <t>Soundariya B</t>
        </is>
      </c>
      <c r="Q3321" t="inlineStr">
        <is>
          <t>Bad</t>
        </is>
      </c>
    </row>
    <row r="3322">
      <c r="A3322" t="inlineStr">
        <is>
          <t>sayan.mondal</t>
        </is>
      </c>
      <c r="B3322" t="inlineStr">
        <is>
          <t>Sayan Mondal</t>
        </is>
      </c>
      <c r="C3322" t="inlineStr">
        <is>
          <t>sayan.m@osmosys.co</t>
        </is>
      </c>
      <c r="D3322" t="inlineStr">
        <is>
          <t>incident-reporter</t>
        </is>
      </c>
      <c r="E3322">
        <f>HYPERLINK("http://gitlab.osmosys.co/incident-reporter/incident-reporter-angular-portal", "OQSHA Portal")</f>
        <v/>
      </c>
      <c r="F3322">
        <f>HYPERLINK("http://gitlab.osmosys.co/incident-reporter/incident-reporter-angular-portal/-/merge_requests/3609", "feat: add manual ptw property in add/update ptw as 0 or 1")</f>
        <v/>
      </c>
      <c r="G3322" t="inlineStr">
        <is>
          <t>feat/isManualPtw</t>
        </is>
      </c>
      <c r="H3322" t="inlineStr">
        <is>
          <t>sprint-18</t>
        </is>
      </c>
      <c r="I3322" t="inlineStr">
        <is>
          <t>merged</t>
        </is>
      </c>
      <c r="J3322" t="inlineStr">
        <is>
          <t>60b2582cd5c492c3ab49716a593539fba0bb695a</t>
        </is>
      </c>
      <c r="K3322">
        <f>HYPERLINK("http://gitlab.osmosys.co/incident-reporter/incident-reporter-angular-portal/-/merge_requests/3609#note_242473", "@soundariya.b There is a common mistake in @nakshatra.b PR where there are duplicate tagToBody property which needs to be removed. So, removed it in attendance module")</f>
        <v/>
      </c>
      <c r="L3322" t="inlineStr">
        <is>
          <t>2025-07-26 08:02:13.175 IST</t>
        </is>
      </c>
      <c r="M3322" t="inlineStr">
        <is>
          <t>Sayan Mondal</t>
        </is>
      </c>
      <c r="N3322" t="inlineStr">
        <is>
          <t>No</t>
        </is>
      </c>
      <c r="O3322" t="inlineStr">
        <is>
          <t>No</t>
        </is>
      </c>
      <c r="P3322" t="inlineStr"/>
      <c r="Q3322" t="inlineStr">
        <is>
          <t>Bad</t>
        </is>
      </c>
    </row>
    <row r="3323">
      <c r="A3323" t="inlineStr">
        <is>
          <t>sayan.mondal</t>
        </is>
      </c>
      <c r="B3323" t="inlineStr">
        <is>
          <t>Sayan Mondal</t>
        </is>
      </c>
      <c r="C3323" t="inlineStr">
        <is>
          <t>sayan.m@osmosys.co</t>
        </is>
      </c>
      <c r="D3323" t="inlineStr">
        <is>
          <t>incident-reporter</t>
        </is>
      </c>
      <c r="E3323">
        <f>HYPERLINK("http://gitlab.osmosys.co/incident-reporter/incident-reporter-angular-portal", "OQSHA Portal")</f>
        <v/>
      </c>
      <c r="F3323">
        <f>HYPERLINK("http://gitlab.osmosys.co/incident-reporter/incident-reporter-angular-portal/-/merge_requests/3585", "feat: add manual ptw checkbox based on flag")</f>
        <v/>
      </c>
      <c r="G3323" t="inlineStr">
        <is>
          <t>feat/manual-ptw-changes</t>
        </is>
      </c>
      <c r="H3323" t="inlineStr">
        <is>
          <t>sprint-18</t>
        </is>
      </c>
      <c r="I3323" t="inlineStr">
        <is>
          <t>merged</t>
        </is>
      </c>
      <c r="J3323" t="inlineStr"/>
      <c r="K3323" t="inlineStr"/>
      <c r="L3323" t="inlineStr"/>
      <c r="M3323" t="inlineStr"/>
      <c r="N3323" t="inlineStr"/>
      <c r="O3323" t="inlineStr"/>
      <c r="P3323" t="inlineStr"/>
      <c r="Q3323" t="inlineStr"/>
    </row>
    <row r="3324">
      <c r="A3324" t="inlineStr">
        <is>
          <t>sayan.mondal</t>
        </is>
      </c>
      <c r="B3324" t="inlineStr">
        <is>
          <t>Sayan Mondal</t>
        </is>
      </c>
      <c r="C3324" t="inlineStr">
        <is>
          <t>sayan.m@osmosys.co</t>
        </is>
      </c>
      <c r="D3324" t="inlineStr">
        <is>
          <t>incident-reporter</t>
        </is>
      </c>
      <c r="E3324">
        <f>HYPERLINK("http://gitlab.osmosys.co/incident-reporter/incident-reporter-angular-portal", "OQSHA Portal")</f>
        <v/>
      </c>
      <c r="F3324">
        <f>HYPERLINK("http://gitlab.osmosys.co/incident-reporter/incident-reporter-angular-portal/-/merge_requests/3575", "fix: update environment api url")</f>
        <v/>
      </c>
      <c r="G3324" t="inlineStr">
        <is>
          <t>fix/update-api-url</t>
        </is>
      </c>
      <c r="H3324" t="inlineStr">
        <is>
          <t>sprint-17</t>
        </is>
      </c>
      <c r="I3324" t="inlineStr">
        <is>
          <t>merged</t>
        </is>
      </c>
      <c r="J3324" t="inlineStr"/>
      <c r="K3324" t="inlineStr"/>
      <c r="L3324" t="inlineStr"/>
      <c r="M3324" t="inlineStr"/>
      <c r="N3324" t="inlineStr"/>
      <c r="O3324" t="inlineStr"/>
      <c r="P3324" t="inlineStr"/>
      <c r="Q3324" t="inlineStr"/>
    </row>
    <row r="3325">
      <c r="A3325" t="inlineStr">
        <is>
          <t>sayan.mondal</t>
        </is>
      </c>
      <c r="B3325" t="inlineStr">
        <is>
          <t>Sayan Mondal</t>
        </is>
      </c>
      <c r="C3325" t="inlineStr">
        <is>
          <t>sayan.m@osmosys.co</t>
        </is>
      </c>
      <c r="D3325" t="inlineStr">
        <is>
          <t>incident-reporter</t>
        </is>
      </c>
      <c r="E3325">
        <f>HYPERLINK("http://gitlab.osmosys.co/incident-reporter/incident-reporter-angular-portal", "OQSHA Portal")</f>
        <v/>
      </c>
      <c r="F3325">
        <f>HYPERLINK("http://gitlab.osmosys.co/incident-reporter/incident-reporter-angular-portal/-/merge_requests/3574", "fix: change the auto deployment destination")</f>
        <v/>
      </c>
      <c r="G3325" t="inlineStr">
        <is>
          <t>fix/qa-load</t>
        </is>
      </c>
      <c r="H3325" t="inlineStr">
        <is>
          <t>sprint-17</t>
        </is>
      </c>
      <c r="I3325" t="inlineStr">
        <is>
          <t>merged</t>
        </is>
      </c>
      <c r="J3325" t="inlineStr"/>
      <c r="K3325" t="inlineStr"/>
      <c r="L3325" t="inlineStr"/>
      <c r="M3325" t="inlineStr"/>
      <c r="N3325" t="inlineStr"/>
      <c r="O3325" t="inlineStr"/>
      <c r="P3325" t="inlineStr"/>
      <c r="Q3325" t="inlineStr"/>
    </row>
    <row r="3326">
      <c r="A3326" t="inlineStr">
        <is>
          <t>sayan.mondal</t>
        </is>
      </c>
      <c r="B3326" t="inlineStr">
        <is>
          <t>Sayan Mondal</t>
        </is>
      </c>
      <c r="C3326" t="inlineStr">
        <is>
          <t>sayan.m@osmosys.co</t>
        </is>
      </c>
      <c r="D3326" t="inlineStr">
        <is>
          <t>incident-reporter</t>
        </is>
      </c>
      <c r="E3326">
        <f>HYPERLINK("http://gitlab.osmosys.co/incident-reporter/incident-reporter-angular-portal", "OQSHA Portal")</f>
        <v/>
      </c>
      <c r="F3326">
        <f>HYPERLINK("http://gitlab.osmosys.co/incident-reporter/incident-reporter-angular-portal/-/merge_requests/3573", "feat: add changes related to ticket date time")</f>
        <v/>
      </c>
      <c r="G3326" t="inlineStr">
        <is>
          <t>feat/ticket-date-time</t>
        </is>
      </c>
      <c r="H3326" t="inlineStr">
        <is>
          <t>sprint-17</t>
        </is>
      </c>
      <c r="I3326" t="inlineStr">
        <is>
          <t>merged</t>
        </is>
      </c>
      <c r="J3326" t="inlineStr"/>
      <c r="K3326" t="inlineStr"/>
      <c r="L3326" t="inlineStr"/>
      <c r="M3326" t="inlineStr"/>
      <c r="N3326" t="inlineStr"/>
      <c r="O3326" t="inlineStr"/>
      <c r="P3326" t="inlineStr"/>
      <c r="Q3326" t="inlineStr"/>
    </row>
    <row r="3327">
      <c r="A3327" t="inlineStr">
        <is>
          <t>sayan.mondal</t>
        </is>
      </c>
      <c r="B3327" t="inlineStr">
        <is>
          <t>Sayan Mondal</t>
        </is>
      </c>
      <c r="C3327" t="inlineStr">
        <is>
          <t>sayan.m@osmosys.co</t>
        </is>
      </c>
      <c r="D3327" t="inlineStr">
        <is>
          <t>incident-reporter</t>
        </is>
      </c>
      <c r="E3327">
        <f>HYPERLINK("http://gitlab.osmosys.co/incident-reporter/incident-reporter-angular-portal", "OQSHA Portal")</f>
        <v/>
      </c>
      <c r="F3327">
        <f>HYPERLINK("http://gitlab.osmosys.co/incident-reporter/incident-reporter-angular-portal/-/merge_requests/3569", "feat: add moc signature changes")</f>
        <v/>
      </c>
      <c r="G3327" t="inlineStr">
        <is>
          <t>feat/moc-changes</t>
        </is>
      </c>
      <c r="H3327" t="inlineStr">
        <is>
          <t>sprint-17</t>
        </is>
      </c>
      <c r="I3327" t="inlineStr">
        <is>
          <t>merged</t>
        </is>
      </c>
      <c r="J3327" t="inlineStr"/>
      <c r="K3327" t="inlineStr"/>
      <c r="L3327" t="inlineStr"/>
      <c r="M3327" t="inlineStr"/>
      <c r="N3327" t="inlineStr"/>
      <c r="O3327" t="inlineStr"/>
      <c r="P3327" t="inlineStr"/>
      <c r="Q3327" t="inlineStr"/>
    </row>
    <row r="3328">
      <c r="A3328" t="inlineStr">
        <is>
          <t>sayan.mondal</t>
        </is>
      </c>
      <c r="B3328" t="inlineStr">
        <is>
          <t>Sayan Mondal</t>
        </is>
      </c>
      <c r="C3328" t="inlineStr">
        <is>
          <t>sayan.m@osmosys.co</t>
        </is>
      </c>
      <c r="D3328" t="inlineStr">
        <is>
          <t>incident-reporter</t>
        </is>
      </c>
      <c r="E3328">
        <f>HYPERLINK("http://gitlab.osmosys.co/incident-reporter/incident-reporter-angular-portal", "OQSHA Portal")</f>
        <v/>
      </c>
      <c r="F3328">
        <f>HYPERLINK("http://gitlab.osmosys.co/incident-reporter/incident-reporter-angular-portal/-/merge_requests/3565", "feat: add logic to show maintenance fields based on flags")</f>
        <v/>
      </c>
      <c r="G3328" t="inlineStr">
        <is>
          <t>feat/maintenance-changes</t>
        </is>
      </c>
      <c r="H3328" t="inlineStr">
        <is>
          <t>sprint-17</t>
        </is>
      </c>
      <c r="I3328" t="inlineStr">
        <is>
          <t>merged</t>
        </is>
      </c>
      <c r="J3328" t="inlineStr"/>
      <c r="K3328" t="inlineStr"/>
      <c r="L3328" t="inlineStr"/>
      <c r="M3328" t="inlineStr"/>
      <c r="N3328" t="inlineStr"/>
      <c r="O3328" t="inlineStr"/>
      <c r="P3328" t="inlineStr"/>
      <c r="Q3328" t="inlineStr"/>
    </row>
    <row r="3329">
      <c r="A3329" t="inlineStr">
        <is>
          <t>sayan.mondal</t>
        </is>
      </c>
      <c r="B3329" t="inlineStr">
        <is>
          <t>Sayan Mondal</t>
        </is>
      </c>
      <c r="C3329" t="inlineStr">
        <is>
          <t>sayan.m@osmosys.co</t>
        </is>
      </c>
      <c r="D3329" t="inlineStr">
        <is>
          <t>incident-reporter</t>
        </is>
      </c>
      <c r="E3329">
        <f>HYPERLINK("http://gitlab.osmosys.co/incident-reporter/incident-reporter-angular-portal", "OQSHA Portal")</f>
        <v/>
      </c>
      <c r="F3329">
        <f>HYPERLINK("http://gitlab.osmosys.co/incident-reporter/incident-reporter-angular-portal/-/merge_requests/3564", "fix: add mandatory option for person name and company name")</f>
        <v/>
      </c>
      <c r="G3329" t="inlineStr">
        <is>
          <t>fix/reported-by-type</t>
        </is>
      </c>
      <c r="H3329" t="inlineStr">
        <is>
          <t>sprint-17</t>
        </is>
      </c>
      <c r="I3329" t="inlineStr">
        <is>
          <t>merged</t>
        </is>
      </c>
      <c r="J3329" t="inlineStr"/>
      <c r="K3329" t="inlineStr"/>
      <c r="L3329" t="inlineStr"/>
      <c r="M3329" t="inlineStr"/>
      <c r="N3329" t="inlineStr"/>
      <c r="O3329" t="inlineStr"/>
      <c r="P3329" t="inlineStr"/>
      <c r="Q3329" t="inlineStr"/>
    </row>
    <row r="3330">
      <c r="A3330" t="inlineStr">
        <is>
          <t>sayan.mondal</t>
        </is>
      </c>
      <c r="B3330" t="inlineStr">
        <is>
          <t>Sayan Mondal</t>
        </is>
      </c>
      <c r="C3330" t="inlineStr">
        <is>
          <t>sayan.m@osmosys.co</t>
        </is>
      </c>
      <c r="D3330" t="inlineStr">
        <is>
          <t>incident-reporter</t>
        </is>
      </c>
      <c r="E3330">
        <f>HYPERLINK("http://gitlab.osmosys.co/incident-reporter/incident-reporter-angular-portal", "OQSHA Portal")</f>
        <v/>
      </c>
      <c r="F3330">
        <f>HYPERLINK("http://gitlab.osmosys.co/incident-reporter/incident-reporter-angular-portal/-/merge_requests/3551", "fix: add small fixes for ticket page")</f>
        <v/>
      </c>
      <c r="G3330" t="inlineStr">
        <is>
          <t>fix/ticket-page</t>
        </is>
      </c>
      <c r="H3330" t="inlineStr">
        <is>
          <t>sprint-17</t>
        </is>
      </c>
      <c r="I3330" t="inlineStr">
        <is>
          <t>merged</t>
        </is>
      </c>
      <c r="J3330" t="inlineStr"/>
      <c r="K3330" t="inlineStr"/>
      <c r="L3330" t="inlineStr"/>
      <c r="M3330" t="inlineStr"/>
      <c r="N3330" t="inlineStr"/>
      <c r="O3330" t="inlineStr"/>
      <c r="P3330" t="inlineStr"/>
      <c r="Q3330" t="inlineStr"/>
    </row>
    <row r="3331">
      <c r="A3331" t="inlineStr">
        <is>
          <t>sayan.mondal</t>
        </is>
      </c>
      <c r="B3331" t="inlineStr">
        <is>
          <t>Sayan Mondal</t>
        </is>
      </c>
      <c r="C3331" t="inlineStr">
        <is>
          <t>sayan.m@osmosys.co</t>
        </is>
      </c>
      <c r="D3331" t="inlineStr">
        <is>
          <t>incident-reporter</t>
        </is>
      </c>
      <c r="E3331">
        <f>HYPERLINK("http://gitlab.osmosys.co/incident-reporter/incident-reporter-angular-portal", "OQSHA Portal")</f>
        <v/>
      </c>
      <c r="F3331">
        <f>HYPERLINK("http://gitlab.osmosys.co/incident-reporter/incident-reporter-angular-portal/-/merge_requests/3516", "fix: revert back the condition added for investigation checklist")</f>
        <v/>
      </c>
      <c r="G3331" t="inlineStr">
        <is>
          <t>fix/revert-invcheck-condition</t>
        </is>
      </c>
      <c r="H3331" t="inlineStr">
        <is>
          <t>sprint-17</t>
        </is>
      </c>
      <c r="I3331" t="inlineStr">
        <is>
          <t>merged</t>
        </is>
      </c>
      <c r="J3331" t="inlineStr"/>
      <c r="K3331" t="inlineStr"/>
      <c r="L3331" t="inlineStr"/>
      <c r="M3331" t="inlineStr"/>
      <c r="N3331" t="inlineStr"/>
      <c r="O3331" t="inlineStr"/>
      <c r="P3331" t="inlineStr"/>
      <c r="Q3331" t="inlineStr"/>
    </row>
    <row r="3332">
      <c r="A3332" t="inlineStr">
        <is>
          <t>sayan.mondal</t>
        </is>
      </c>
      <c r="B3332" t="inlineStr">
        <is>
          <t>Sayan Mondal</t>
        </is>
      </c>
      <c r="C3332" t="inlineStr">
        <is>
          <t>sayan.m@osmosys.co</t>
        </is>
      </c>
      <c r="D3332" t="inlineStr">
        <is>
          <t>incident-reporter</t>
        </is>
      </c>
      <c r="E3332">
        <f>HYPERLINK("http://gitlab.osmosys.co/incident-reporter/incident-reporter-angular-portal", "OQSHA Portal")</f>
        <v/>
      </c>
      <c r="F3332">
        <f>HYPERLINK("http://gitlab.osmosys.co/incident-reporter/incident-reporter-angular-portal/-/merge_requests/3515", "fix: fix add company issue in production")</f>
        <v/>
      </c>
      <c r="G3332" t="inlineStr">
        <is>
          <t>fix/add-company</t>
        </is>
      </c>
      <c r="H3332" t="inlineStr">
        <is>
          <t>sprint-17</t>
        </is>
      </c>
      <c r="I3332" t="inlineStr">
        <is>
          <t>merged</t>
        </is>
      </c>
      <c r="J3332" t="inlineStr"/>
      <c r="K3332" t="inlineStr"/>
      <c r="L3332" t="inlineStr"/>
      <c r="M3332" t="inlineStr"/>
      <c r="N3332" t="inlineStr"/>
      <c r="O3332" t="inlineStr"/>
      <c r="P3332" t="inlineStr"/>
      <c r="Q3332" t="inlineStr"/>
    </row>
    <row r="3333">
      <c r="A3333" t="inlineStr">
        <is>
          <t>sayan.mondal</t>
        </is>
      </c>
      <c r="B3333" t="inlineStr">
        <is>
          <t>Sayan Mondal</t>
        </is>
      </c>
      <c r="C3333" t="inlineStr">
        <is>
          <t>sayan.m@osmosys.co</t>
        </is>
      </c>
      <c r="D3333" t="inlineStr">
        <is>
          <t>incident-reporter</t>
        </is>
      </c>
      <c r="E3333">
        <f>HYPERLINK("http://gitlab.osmosys.co/incident-reporter/incident-reporter-angular-portal", "OQSHA Portal")</f>
        <v/>
      </c>
      <c r="F3333">
        <f>HYPERLINK("http://gitlab.osmosys.co/incident-reporter/incident-reporter-angular-portal/-/merge_requests/3512", "fix: resolve bugs raised in ticket page")</f>
        <v/>
      </c>
      <c r="G3333" t="inlineStr">
        <is>
          <t>fix/ticket-bugs</t>
        </is>
      </c>
      <c r="H3333" t="inlineStr">
        <is>
          <t>sprint-17</t>
        </is>
      </c>
      <c r="I3333" t="inlineStr">
        <is>
          <t>merged</t>
        </is>
      </c>
      <c r="J3333" t="inlineStr"/>
      <c r="K3333" t="inlineStr"/>
      <c r="L3333" t="inlineStr"/>
      <c r="M3333" t="inlineStr"/>
      <c r="N3333" t="inlineStr"/>
      <c r="O3333" t="inlineStr"/>
      <c r="P3333" t="inlineStr"/>
      <c r="Q3333" t="inlineStr"/>
    </row>
    <row r="3334">
      <c r="A3334" t="inlineStr">
        <is>
          <t>sayan.mondal</t>
        </is>
      </c>
      <c r="B3334" t="inlineStr">
        <is>
          <t>Sayan Mondal</t>
        </is>
      </c>
      <c r="C3334" t="inlineStr">
        <is>
          <t>sayan.m@osmosys.co</t>
        </is>
      </c>
      <c r="D3334" t="inlineStr">
        <is>
          <t>incident-reporter</t>
        </is>
      </c>
      <c r="E3334">
        <f>HYPERLINK("http://gitlab.osmosys.co/incident-reporter/incident-reporter-angular-portal", "OQSHA Portal")</f>
        <v/>
      </c>
      <c r="F3334">
        <f>HYPERLINK("http://gitlab.osmosys.co/incident-reporter/incident-reporter-angular-portal/-/merge_requests/3511", "fix: show app modules and portal modules for roles page")</f>
        <v/>
      </c>
      <c r="G3334" t="inlineStr">
        <is>
          <t>fix/roles-module</t>
        </is>
      </c>
      <c r="H3334" t="inlineStr">
        <is>
          <t>sprint-17</t>
        </is>
      </c>
      <c r="I3334" t="inlineStr">
        <is>
          <t>merged</t>
        </is>
      </c>
      <c r="J3334" t="inlineStr"/>
      <c r="K3334" t="inlineStr"/>
      <c r="L3334" t="inlineStr"/>
      <c r="M3334" t="inlineStr"/>
      <c r="N3334" t="inlineStr"/>
      <c r="O3334" t="inlineStr"/>
      <c r="P3334" t="inlineStr"/>
      <c r="Q3334" t="inlineStr"/>
    </row>
    <row r="3335">
      <c r="A3335" t="inlineStr">
        <is>
          <t>sayan.mondal</t>
        </is>
      </c>
      <c r="B3335" t="inlineStr">
        <is>
          <t>Sayan Mondal</t>
        </is>
      </c>
      <c r="C3335" t="inlineStr">
        <is>
          <t>sayan.m@osmosys.co</t>
        </is>
      </c>
      <c r="D3335" t="inlineStr">
        <is>
          <t>incident-reporter</t>
        </is>
      </c>
      <c r="E3335">
        <f>HYPERLINK("http://gitlab.osmosys.co/incident-reporter/incident-reporter-angular-portal", "OQSHA Portal")</f>
        <v/>
      </c>
      <c r="F3335">
        <f>HYPERLINK("http://gitlab.osmosys.co/incident-reporter/incident-reporter-angular-portal/-/merge_requests/3509", "fix: hide due date by default in ticket page")</f>
        <v/>
      </c>
      <c r="G3335" t="inlineStr">
        <is>
          <t>fix/hide-due-date</t>
        </is>
      </c>
      <c r="H3335" t="inlineStr">
        <is>
          <t>sprint-17</t>
        </is>
      </c>
      <c r="I3335" t="inlineStr">
        <is>
          <t>merged</t>
        </is>
      </c>
      <c r="J3335" t="inlineStr"/>
      <c r="K3335" t="inlineStr"/>
      <c r="L3335" t="inlineStr"/>
      <c r="M3335" t="inlineStr"/>
      <c r="N3335" t="inlineStr"/>
      <c r="O3335" t="inlineStr"/>
      <c r="P3335" t="inlineStr"/>
      <c r="Q3335" t="inlineStr"/>
    </row>
    <row r="3336">
      <c r="A3336" t="inlineStr">
        <is>
          <t>sayan.mondal</t>
        </is>
      </c>
      <c r="B3336" t="inlineStr">
        <is>
          <t>Sayan Mondal</t>
        </is>
      </c>
      <c r="C3336" t="inlineStr">
        <is>
          <t>sayan.m@osmosys.co</t>
        </is>
      </c>
      <c r="D3336" t="inlineStr">
        <is>
          <t>incident-reporter</t>
        </is>
      </c>
      <c r="E3336">
        <f>HYPERLINK("http://gitlab.osmosys.co/incident-reporter/incident-reporter-angular-portal", "OQSHA Portal")</f>
        <v/>
      </c>
      <c r="F3336">
        <f>HYPERLINK("http://gitlab.osmosys.co/incident-reporter/incident-reporter-angular-portal/-/merge_requests/3499", "fix: update module name for inspection module")</f>
        <v/>
      </c>
      <c r="G3336" t="inlineStr">
        <is>
          <t>fix/inspection-module</t>
        </is>
      </c>
      <c r="H3336" t="inlineStr">
        <is>
          <t>sprint-17</t>
        </is>
      </c>
      <c r="I3336" t="inlineStr">
        <is>
          <t>merged</t>
        </is>
      </c>
      <c r="J3336" t="inlineStr"/>
      <c r="K3336" t="inlineStr"/>
      <c r="L3336" t="inlineStr"/>
      <c r="M3336" t="inlineStr"/>
      <c r="N3336" t="inlineStr"/>
      <c r="O3336" t="inlineStr"/>
      <c r="P3336" t="inlineStr"/>
      <c r="Q3336" t="inlineStr"/>
    </row>
    <row r="3337">
      <c r="A3337" t="inlineStr">
        <is>
          <t>sayan.mondal</t>
        </is>
      </c>
      <c r="B3337" t="inlineStr">
        <is>
          <t>Sayan Mondal</t>
        </is>
      </c>
      <c r="C3337" t="inlineStr">
        <is>
          <t>sayan.m@osmosys.co</t>
        </is>
      </c>
      <c r="D3337" t="inlineStr">
        <is>
          <t>incident-reporter</t>
        </is>
      </c>
      <c r="E3337">
        <f>HYPERLINK("http://gitlab.osmosys.co/incident-reporter/incident-reporter-angular-portal", "OQSHA Portal")</f>
        <v/>
      </c>
      <c r="F3337">
        <f>HYPERLINK("http://gitlab.osmosys.co/incident-reporter/incident-reporter-angular-portal/-/merge_requests/3482", "fix: update app user label to reported by")</f>
        <v/>
      </c>
      <c r="G3337" t="inlineStr">
        <is>
          <t>fix/reported-by-lbl</t>
        </is>
      </c>
      <c r="H3337" t="inlineStr">
        <is>
          <t>sprint-17</t>
        </is>
      </c>
      <c r="I3337" t="inlineStr">
        <is>
          <t>merged</t>
        </is>
      </c>
      <c r="J3337" t="inlineStr"/>
      <c r="K3337" t="inlineStr"/>
      <c r="L3337" t="inlineStr"/>
      <c r="M3337" t="inlineStr"/>
      <c r="N3337" t="inlineStr"/>
      <c r="O3337" t="inlineStr"/>
      <c r="P3337" t="inlineStr"/>
      <c r="Q3337" t="inlineStr"/>
    </row>
    <row r="3338">
      <c r="A3338" t="inlineStr">
        <is>
          <t>sayan.mondal</t>
        </is>
      </c>
      <c r="B3338" t="inlineStr">
        <is>
          <t>Sayan Mondal</t>
        </is>
      </c>
      <c r="C3338" t="inlineStr">
        <is>
          <t>sayan.m@osmosys.co</t>
        </is>
      </c>
      <c r="D3338" t="inlineStr">
        <is>
          <t>incident-reporter</t>
        </is>
      </c>
      <c r="E3338">
        <f>HYPERLINK("http://gitlab.osmosys.co/incident-reporter/incident-reporter-angular-portal", "OQSHA Portal")</f>
        <v/>
      </c>
      <c r="F3338">
        <f>HYPERLINK("http://gitlab.osmosys.co/incident-reporter/incident-reporter-angular-portal/-/merge_requests/3463", "feat: add deeplink for pssr, task and batch module")</f>
        <v/>
      </c>
      <c r="G3338" t="inlineStr">
        <is>
          <t>feat/task-pssr-batch-deeplink</t>
        </is>
      </c>
      <c r="H3338" t="inlineStr">
        <is>
          <t>sprint-17</t>
        </is>
      </c>
      <c r="I3338" t="inlineStr">
        <is>
          <t>merged</t>
        </is>
      </c>
      <c r="J3338" t="inlineStr"/>
      <c r="K3338" t="inlineStr"/>
      <c r="L3338" t="inlineStr"/>
      <c r="M3338" t="inlineStr"/>
      <c r="N3338" t="inlineStr"/>
      <c r="O3338" t="inlineStr"/>
      <c r="P3338" t="inlineStr"/>
      <c r="Q3338" t="inlineStr"/>
    </row>
    <row r="3339">
      <c r="A3339" t="inlineStr">
        <is>
          <t>sayan.mondal</t>
        </is>
      </c>
      <c r="B3339" t="inlineStr">
        <is>
          <t>Sayan Mondal</t>
        </is>
      </c>
      <c r="C3339" t="inlineStr">
        <is>
          <t>sayan.m@osmosys.co</t>
        </is>
      </c>
      <c r="D3339" t="inlineStr">
        <is>
          <t>incident-reporter</t>
        </is>
      </c>
      <c r="E3339">
        <f>HYPERLINK("http://gitlab.osmosys.co/incident-reporter/incident-reporter-angular-portal", "OQSHA Portal")</f>
        <v/>
      </c>
      <c r="F3339">
        <f>HYPERLINK("http://gitlab.osmosys.co/incident-reporter/incident-reporter-angular-portal/-/merge_requests/3445", "feat: add deeplink for moc, inspection and hira")</f>
        <v/>
      </c>
      <c r="G3339" t="inlineStr">
        <is>
          <t>feat/deeplink-dropdown</t>
        </is>
      </c>
      <c r="H3339" t="inlineStr">
        <is>
          <t>sprint-17</t>
        </is>
      </c>
      <c r="I3339" t="inlineStr">
        <is>
          <t>merged</t>
        </is>
      </c>
      <c r="J3339" t="inlineStr"/>
      <c r="K3339" t="inlineStr"/>
      <c r="L3339" t="inlineStr"/>
      <c r="M3339" t="inlineStr"/>
      <c r="N3339" t="inlineStr"/>
      <c r="O3339" t="inlineStr"/>
      <c r="P3339" t="inlineStr"/>
      <c r="Q3339" t="inlineStr"/>
    </row>
    <row r="3340">
      <c r="A3340" t="inlineStr">
        <is>
          <t>sayan.mondal</t>
        </is>
      </c>
      <c r="B3340" t="inlineStr">
        <is>
          <t>Sayan Mondal</t>
        </is>
      </c>
      <c r="C3340" t="inlineStr">
        <is>
          <t>sayan.m@osmosys.co</t>
        </is>
      </c>
      <c r="D3340" t="inlineStr">
        <is>
          <t>incident-reporter</t>
        </is>
      </c>
      <c r="E3340">
        <f>HYPERLINK("http://gitlab.osmosys.co/incident-reporter/incident-reporter-angular-portal", "OQSHA Portal")</f>
        <v/>
      </c>
      <c r="F3340">
        <f>HYPERLINK("http://gitlab.osmosys.co/incident-reporter/incident-reporter-angular-portal/-/merge_requests/3440", "feat: add deeplink for inspection and task module")</f>
        <v/>
      </c>
      <c r="G3340" t="inlineStr">
        <is>
          <t>feat/inspection-task-deeplink</t>
        </is>
      </c>
      <c r="H3340" t="inlineStr">
        <is>
          <t>sprint-17</t>
        </is>
      </c>
      <c r="I3340" t="inlineStr">
        <is>
          <t>merged</t>
        </is>
      </c>
      <c r="J3340" t="inlineStr"/>
      <c r="K3340" t="inlineStr"/>
      <c r="L3340" t="inlineStr"/>
      <c r="M3340" t="inlineStr"/>
      <c r="N3340" t="inlineStr"/>
      <c r="O3340" t="inlineStr"/>
      <c r="P3340" t="inlineStr"/>
      <c r="Q3340" t="inlineStr"/>
    </row>
    <row r="3341">
      <c r="A3341" t="inlineStr">
        <is>
          <t>sayan.mondal</t>
        </is>
      </c>
      <c r="B3341" t="inlineStr">
        <is>
          <t>Sayan Mondal</t>
        </is>
      </c>
      <c r="C3341" t="inlineStr">
        <is>
          <t>sayan.m@osmosys.co</t>
        </is>
      </c>
      <c r="D3341" t="inlineStr">
        <is>
          <t>incident-reporter</t>
        </is>
      </c>
      <c r="E3341">
        <f>HYPERLINK("http://gitlab.osmosys.co/incident-reporter/incident-reporter-angular-portal", "OQSHA Portal")</f>
        <v/>
      </c>
      <c r="F3341">
        <f>HYPERLINK("http://gitlab.osmosys.co/incident-reporter/incident-reporter-angular-portal/-/merge_requests/3432", "feat: add deeplink for ppe module")</f>
        <v/>
      </c>
      <c r="G3341" t="inlineStr">
        <is>
          <t>feat/ppe-deeplink</t>
        </is>
      </c>
      <c r="H3341" t="inlineStr">
        <is>
          <t>sprint-17</t>
        </is>
      </c>
      <c r="I3341" t="inlineStr">
        <is>
          <t>merged</t>
        </is>
      </c>
      <c r="J3341" t="inlineStr"/>
      <c r="K3341" t="inlineStr"/>
      <c r="L3341" t="inlineStr"/>
      <c r="M3341" t="inlineStr"/>
      <c r="N3341" t="inlineStr"/>
      <c r="O3341" t="inlineStr"/>
      <c r="P3341" t="inlineStr"/>
      <c r="Q3341" t="inlineStr"/>
    </row>
    <row r="3342">
      <c r="A3342" t="inlineStr">
        <is>
          <t>sayan.mondal</t>
        </is>
      </c>
      <c r="B3342" t="inlineStr">
        <is>
          <t>Sayan Mondal</t>
        </is>
      </c>
      <c r="C3342" t="inlineStr">
        <is>
          <t>sayan.m@osmosys.co</t>
        </is>
      </c>
      <c r="D3342" t="inlineStr">
        <is>
          <t>incident-reporter</t>
        </is>
      </c>
      <c r="E3342">
        <f>HYPERLINK("http://gitlab.osmosys.co/incident-reporter/incident-reporter-angular-portal", "OQSHA Portal")</f>
        <v/>
      </c>
      <c r="F3342">
        <f>HYPERLINK("http://gitlab.osmosys.co/incident-reporter/incident-reporter-angular-portal/-/merge_requests/3431", "fix: fix add task modal issues in inspection page")</f>
        <v/>
      </c>
      <c r="G3342" t="inlineStr">
        <is>
          <t>fix/task-modal</t>
        </is>
      </c>
      <c r="H3342" t="inlineStr">
        <is>
          <t>sprint-17</t>
        </is>
      </c>
      <c r="I3342" t="inlineStr">
        <is>
          <t>merged</t>
        </is>
      </c>
      <c r="J3342" t="inlineStr"/>
      <c r="K3342" t="inlineStr"/>
      <c r="L3342" t="inlineStr"/>
      <c r="M3342" t="inlineStr"/>
      <c r="N3342" t="inlineStr"/>
      <c r="O3342" t="inlineStr"/>
      <c r="P3342" t="inlineStr"/>
      <c r="Q3342" t="inlineStr"/>
    </row>
    <row r="3343">
      <c r="A3343" t="inlineStr">
        <is>
          <t>sayan.mondal</t>
        </is>
      </c>
      <c r="B3343" t="inlineStr">
        <is>
          <t>Sayan Mondal</t>
        </is>
      </c>
      <c r="C3343" t="inlineStr">
        <is>
          <t>sayan.m@osmosys.co</t>
        </is>
      </c>
      <c r="D3343" t="inlineStr">
        <is>
          <t>incident-reporter</t>
        </is>
      </c>
      <c r="E3343">
        <f>HYPERLINK("http://gitlab.osmosys.co/incident-reporter/incident-reporter-angular-portal", "OQSHA Portal")</f>
        <v/>
      </c>
      <c r="F3343">
        <f>HYPERLINK("http://gitlab.osmosys.co/incident-reporter/incident-reporter-angular-portal/-/merge_requests/3426", "feat: add reported by type add-edit ticket page")</f>
        <v/>
      </c>
      <c r="G3343" t="inlineStr">
        <is>
          <t>feat/reported-user-type</t>
        </is>
      </c>
      <c r="H3343" t="inlineStr">
        <is>
          <t>sprint-17</t>
        </is>
      </c>
      <c r="I3343" t="inlineStr">
        <is>
          <t>merged</t>
        </is>
      </c>
      <c r="J3343" t="inlineStr">
        <is>
          <t>a55b28d593d9752f6fbfcf15d492468ddf02e946</t>
        </is>
      </c>
      <c r="K3343">
        <f>HYPERLINK("http://gitlab.osmosys.co/incident-reporter/incident-reporter-angular-portal/-/merge_requests/3426#note_236458", "![image.png](/uploads/21cd04886f661d2fccc8336abacec7d5/image.png)")</f>
        <v/>
      </c>
      <c r="L3343" t="inlineStr">
        <is>
          <t>2025-07-14 19:44:22.391 IST</t>
        </is>
      </c>
      <c r="M3343" t="inlineStr">
        <is>
          <t>Soundariya B</t>
        </is>
      </c>
      <c r="N3343" t="inlineStr">
        <is>
          <t>Yes</t>
        </is>
      </c>
      <c r="O3343" t="inlineStr">
        <is>
          <t>Yes</t>
        </is>
      </c>
      <c r="P3343" t="inlineStr">
        <is>
          <t>Sayan Mondal</t>
        </is>
      </c>
      <c r="Q3343" t="inlineStr">
        <is>
          <t>Neutral</t>
        </is>
      </c>
    </row>
    <row r="3344">
      <c r="A3344" t="inlineStr">
        <is>
          <t>sayan.mondal</t>
        </is>
      </c>
      <c r="B3344" t="inlineStr">
        <is>
          <t>Sayan Mondal</t>
        </is>
      </c>
      <c r="C3344" t="inlineStr">
        <is>
          <t>sayan.m@osmosys.co</t>
        </is>
      </c>
      <c r="D3344" t="inlineStr">
        <is>
          <t>incident-reporter</t>
        </is>
      </c>
      <c r="E3344">
        <f>HYPERLINK("http://gitlab.osmosys.co/incident-reporter/incident-reporter-angular-portal", "OQSHA Portal")</f>
        <v/>
      </c>
      <c r="F3344">
        <f>HYPERLINK("http://gitlab.osmosys.co/incident-reporter/incident-reporter-angular-portal/-/merge_requests/3426", "feat: add reported by type add-edit ticket page")</f>
        <v/>
      </c>
      <c r="G3344" t="inlineStr">
        <is>
          <t>feat/reported-user-type</t>
        </is>
      </c>
      <c r="H3344" t="inlineStr">
        <is>
          <t>sprint-17</t>
        </is>
      </c>
      <c r="I3344" t="inlineStr">
        <is>
          <t>merged</t>
        </is>
      </c>
      <c r="J3344" t="inlineStr">
        <is>
          <t>a55b28d593d9752f6fbfcf15d492468ddf02e946</t>
        </is>
      </c>
      <c r="K3344">
        <f>HYPERLINK("http://gitlab.osmosys.co/incident-reporter/incident-reporter-angular-portal/-/merge_requests/3426#note_236527", "the tooltip icon is in the center, if I change anything all the other places it will be affected
![image.png](/uploads/9ae81c129ad0a80a2ab29ce3ecbd375f/image.png){width=1428 height=487}")</f>
        <v/>
      </c>
      <c r="L3344" t="inlineStr">
        <is>
          <t>2025-07-14 21:35:31.503 IST</t>
        </is>
      </c>
      <c r="M3344" t="inlineStr">
        <is>
          <t>Sayan Mondal</t>
        </is>
      </c>
      <c r="N3344" t="inlineStr">
        <is>
          <t>No</t>
        </is>
      </c>
      <c r="O3344" t="inlineStr">
        <is>
          <t>Yes</t>
        </is>
      </c>
      <c r="P3344" t="inlineStr">
        <is>
          <t>Sayan Mondal</t>
        </is>
      </c>
      <c r="Q3344" t="inlineStr">
        <is>
          <t>Neutral</t>
        </is>
      </c>
    </row>
    <row r="3345">
      <c r="A3345" t="inlineStr">
        <is>
          <t>sayan.mondal</t>
        </is>
      </c>
      <c r="B3345" t="inlineStr">
        <is>
          <t>Sayan Mondal</t>
        </is>
      </c>
      <c r="C3345" t="inlineStr">
        <is>
          <t>sayan.m@osmosys.co</t>
        </is>
      </c>
      <c r="D3345" t="inlineStr">
        <is>
          <t>incident-reporter</t>
        </is>
      </c>
      <c r="E3345">
        <f>HYPERLINK("http://gitlab.osmosys.co/incident-reporter/incident-reporter-angular-portal", "OQSHA Portal")</f>
        <v/>
      </c>
      <c r="F3345">
        <f>HYPERLINK("http://gitlab.osmosys.co/incident-reporter/incident-reporter-angular-portal/-/merge_requests/3426", "feat: add reported by type add-edit ticket page")</f>
        <v/>
      </c>
      <c r="G3345" t="inlineStr">
        <is>
          <t>feat/reported-user-type</t>
        </is>
      </c>
      <c r="H3345" t="inlineStr">
        <is>
          <t>sprint-17</t>
        </is>
      </c>
      <c r="I3345" t="inlineStr">
        <is>
          <t>merged</t>
        </is>
      </c>
      <c r="J3345" t="inlineStr">
        <is>
          <t>96aaaca1b21ed974d4388e957029594b4a5a8391</t>
        </is>
      </c>
      <c r="K3345">
        <f>HYPERLINK("http://gitlab.osmosys.co/incident-reporter/incident-reporter-angular-portal/-/merge_requests/3426#note_236459", "![image.png](/uploads/2465e447620db6441718d0460605cc90/image.png)")</f>
        <v/>
      </c>
      <c r="L3345" t="inlineStr">
        <is>
          <t>2025-07-14 19:44:22.432 IST</t>
        </is>
      </c>
      <c r="M3345" t="inlineStr">
        <is>
          <t>Soundariya B</t>
        </is>
      </c>
      <c r="N3345" t="inlineStr">
        <is>
          <t>Yes</t>
        </is>
      </c>
      <c r="O3345" t="inlineStr">
        <is>
          <t>Yes</t>
        </is>
      </c>
      <c r="P3345" t="inlineStr">
        <is>
          <t>Sayan Mondal</t>
        </is>
      </c>
      <c r="Q3345" t="inlineStr">
        <is>
          <t>Neutral</t>
        </is>
      </c>
    </row>
    <row r="3346">
      <c r="A3346" t="inlineStr">
        <is>
          <t>sayan.mondal</t>
        </is>
      </c>
      <c r="B3346" t="inlineStr">
        <is>
          <t>Sayan Mondal</t>
        </is>
      </c>
      <c r="C3346" t="inlineStr">
        <is>
          <t>sayan.m@osmosys.co</t>
        </is>
      </c>
      <c r="D3346" t="inlineStr">
        <is>
          <t>incident-reporter</t>
        </is>
      </c>
      <c r="E3346">
        <f>HYPERLINK("http://gitlab.osmosys.co/incident-reporter/incident-reporter-angular-portal", "OQSHA Portal")</f>
        <v/>
      </c>
      <c r="F3346">
        <f>HYPERLINK("http://gitlab.osmosys.co/incident-reporter/incident-reporter-angular-portal/-/merge_requests/3426", "feat: add reported by type add-edit ticket page")</f>
        <v/>
      </c>
      <c r="G3346" t="inlineStr">
        <is>
          <t>feat/reported-user-type</t>
        </is>
      </c>
      <c r="H3346" t="inlineStr">
        <is>
          <t>sprint-17</t>
        </is>
      </c>
      <c r="I3346" t="inlineStr">
        <is>
          <t>merged</t>
        </is>
      </c>
      <c r="J3346" t="inlineStr">
        <is>
          <t>96aaaca1b21ed974d4388e957029594b4a5a8391</t>
        </is>
      </c>
      <c r="K3346">
        <f>HYPERLINK("http://gitlab.osmosys.co/incident-reporter/incident-reporter-angular-portal/-/merge_requests/3426#note_236510", "@soundariya.b nothing is mentioned from @RajKumar for now regarding tooltip. So, didn't add anything.")</f>
        <v/>
      </c>
      <c r="L3346" t="inlineStr">
        <is>
          <t>2025-07-14 21:10:21.580 IST</t>
        </is>
      </c>
      <c r="M3346" t="inlineStr">
        <is>
          <t>Sayan Mondal</t>
        </is>
      </c>
      <c r="N3346" t="inlineStr">
        <is>
          <t>No</t>
        </is>
      </c>
      <c r="O3346" t="inlineStr">
        <is>
          <t>Yes</t>
        </is>
      </c>
      <c r="P3346" t="inlineStr">
        <is>
          <t>Sayan Mondal</t>
        </is>
      </c>
      <c r="Q3346" t="inlineStr">
        <is>
          <t>Neutral</t>
        </is>
      </c>
    </row>
    <row r="3347">
      <c r="A3347" t="inlineStr">
        <is>
          <t>sayan.mondal</t>
        </is>
      </c>
      <c r="B3347" t="inlineStr">
        <is>
          <t>Sayan Mondal</t>
        </is>
      </c>
      <c r="C3347" t="inlineStr">
        <is>
          <t>sayan.m@osmosys.co</t>
        </is>
      </c>
      <c r="D3347" t="inlineStr">
        <is>
          <t>incident-reporter</t>
        </is>
      </c>
      <c r="E3347">
        <f>HYPERLINK("http://gitlab.osmosys.co/incident-reporter/incident-reporter-angular-portal", "OQSHA Portal")</f>
        <v/>
      </c>
      <c r="F3347">
        <f>HYPERLINK("http://gitlab.osmosys.co/incident-reporter/incident-reporter-angular-portal/-/merge_requests/3426", "feat: add reported by type add-edit ticket page")</f>
        <v/>
      </c>
      <c r="G3347" t="inlineStr">
        <is>
          <t>feat/reported-user-type</t>
        </is>
      </c>
      <c r="H3347" t="inlineStr">
        <is>
          <t>sprint-17</t>
        </is>
      </c>
      <c r="I3347" t="inlineStr">
        <is>
          <t>merged</t>
        </is>
      </c>
      <c r="J3347" t="inlineStr">
        <is>
          <t>b19a855112f99f88d8c61c8a1a13462959172304</t>
        </is>
      </c>
      <c r="K3347">
        <f>HYPERLINK("http://gitlab.osmosys.co/incident-reporter/incident-reporter-angular-portal/-/merge_requests/3426#note_236460", "Rename it - isShowContractorField()")</f>
        <v/>
      </c>
      <c r="L3347" t="inlineStr">
        <is>
          <t>2025-07-14 19:44:22.509 IST</t>
        </is>
      </c>
      <c r="M3347" t="inlineStr">
        <is>
          <t>Soundariya B</t>
        </is>
      </c>
      <c r="N3347" t="inlineStr">
        <is>
          <t>Yes</t>
        </is>
      </c>
      <c r="O3347" t="inlineStr">
        <is>
          <t>Yes</t>
        </is>
      </c>
      <c r="P3347" t="inlineStr">
        <is>
          <t>Raj Kumar</t>
        </is>
      </c>
      <c r="Q3347" t="inlineStr">
        <is>
          <t>Bad</t>
        </is>
      </c>
    </row>
    <row r="3348">
      <c r="A3348" t="inlineStr">
        <is>
          <t>sayan.mondal</t>
        </is>
      </c>
      <c r="B3348" t="inlineStr">
        <is>
          <t>Sayan Mondal</t>
        </is>
      </c>
      <c r="C3348" t="inlineStr">
        <is>
          <t>sayan.m@osmosys.co</t>
        </is>
      </c>
      <c r="D3348" t="inlineStr">
        <is>
          <t>incident-reporter</t>
        </is>
      </c>
      <c r="E3348">
        <f>HYPERLINK("http://gitlab.osmosys.co/incident-reporter/incident-reporter-angular-portal", "OQSHA Portal")</f>
        <v/>
      </c>
      <c r="F3348">
        <f>HYPERLINK("http://gitlab.osmosys.co/incident-reporter/incident-reporter-angular-portal/-/merge_requests/3426", "feat: add reported by type add-edit ticket page")</f>
        <v/>
      </c>
      <c r="G3348" t="inlineStr">
        <is>
          <t>feat/reported-user-type</t>
        </is>
      </c>
      <c r="H3348" t="inlineStr">
        <is>
          <t>sprint-17</t>
        </is>
      </c>
      <c r="I3348" t="inlineStr">
        <is>
          <t>merged</t>
        </is>
      </c>
      <c r="J3348" t="inlineStr">
        <is>
          <t>1087aa0d3583c1460b8fd5f0605ea974da7eaf81</t>
        </is>
      </c>
      <c r="K3348">
        <f>HYPERLINK("http://gitlab.osmosys.co/incident-reporter/incident-reporter-angular-portal/-/merge_requests/3426#note_236461", "Like others setting please take this as property as property can't be taken from constant file until and until it is not as static from UI")</f>
        <v/>
      </c>
      <c r="L3348" t="inlineStr">
        <is>
          <t>2025-07-14 19:44:22.607 IST</t>
        </is>
      </c>
      <c r="M3348" t="inlineStr">
        <is>
          <t>Soundariya B</t>
        </is>
      </c>
      <c r="N3348" t="inlineStr">
        <is>
          <t>Yes</t>
        </is>
      </c>
      <c r="O3348" t="inlineStr">
        <is>
          <t>Yes</t>
        </is>
      </c>
      <c r="P3348" t="inlineStr">
        <is>
          <t>Raj Kumar</t>
        </is>
      </c>
      <c r="Q3348" t="inlineStr">
        <is>
          <t>Bad</t>
        </is>
      </c>
    </row>
    <row r="3349">
      <c r="A3349" t="inlineStr">
        <is>
          <t>sayan.mondal</t>
        </is>
      </c>
      <c r="B3349" t="inlineStr">
        <is>
          <t>Sayan Mondal</t>
        </is>
      </c>
      <c r="C3349" t="inlineStr">
        <is>
          <t>sayan.m@osmosys.co</t>
        </is>
      </c>
      <c r="D3349" t="inlineStr">
        <is>
          <t>incident-reporter</t>
        </is>
      </c>
      <c r="E3349">
        <f>HYPERLINK("http://gitlab.osmosys.co/incident-reporter/incident-reporter-angular-portal", "OQSHA Portal")</f>
        <v/>
      </c>
      <c r="F3349">
        <f>HYPERLINK("http://gitlab.osmosys.co/incident-reporter/incident-reporter-angular-portal/-/merge_requests/3426", "feat: add reported by type add-edit ticket page")</f>
        <v/>
      </c>
      <c r="G3349" t="inlineStr">
        <is>
          <t>feat/reported-user-type</t>
        </is>
      </c>
      <c r="H3349" t="inlineStr">
        <is>
          <t>sprint-17</t>
        </is>
      </c>
      <c r="I3349" t="inlineStr">
        <is>
          <t>merged</t>
        </is>
      </c>
      <c r="J3349" t="inlineStr">
        <is>
          <t>c67daf7b7d05507842b16909f4dc4b7acd00f389</t>
        </is>
      </c>
      <c r="K3349">
        <f>HYPERLINK("http://gitlab.osmosys.co/incident-reporter/incident-reporter-angular-portal/-/merge_requests/3426#note_236462", "Get api routes from constant file")</f>
        <v/>
      </c>
      <c r="L3349" t="inlineStr">
        <is>
          <t>2025-07-14 19:44:22.689 IST</t>
        </is>
      </c>
      <c r="M3349" t="inlineStr">
        <is>
          <t>Soundariya B</t>
        </is>
      </c>
      <c r="N3349" t="inlineStr">
        <is>
          <t>Yes</t>
        </is>
      </c>
      <c r="O3349" t="inlineStr">
        <is>
          <t>Yes</t>
        </is>
      </c>
      <c r="P3349" t="inlineStr">
        <is>
          <t>Raj Kumar</t>
        </is>
      </c>
      <c r="Q3349" t="inlineStr">
        <is>
          <t>Bad</t>
        </is>
      </c>
    </row>
    <row r="3350">
      <c r="A3350" t="inlineStr">
        <is>
          <t>sayan.mondal</t>
        </is>
      </c>
      <c r="B3350" t="inlineStr">
        <is>
          <t>Sayan Mondal</t>
        </is>
      </c>
      <c r="C3350" t="inlineStr">
        <is>
          <t>sayan.m@osmosys.co</t>
        </is>
      </c>
      <c r="D3350" t="inlineStr">
        <is>
          <t>incident-reporter</t>
        </is>
      </c>
      <c r="E3350">
        <f>HYPERLINK("http://gitlab.osmosys.co/incident-reporter/incident-reporter-angular-portal", "OQSHA Portal")</f>
        <v/>
      </c>
      <c r="F3350">
        <f>HYPERLINK("http://gitlab.osmosys.co/incident-reporter/incident-reporter-angular-portal/-/merge_requests/3426", "feat: add reported by type add-edit ticket page")</f>
        <v/>
      </c>
      <c r="G3350" t="inlineStr">
        <is>
          <t>feat/reported-user-type</t>
        </is>
      </c>
      <c r="H3350" t="inlineStr">
        <is>
          <t>sprint-17</t>
        </is>
      </c>
      <c r="I3350" t="inlineStr">
        <is>
          <t>merged</t>
        </is>
      </c>
      <c r="J3350" t="inlineStr">
        <is>
          <t>338b4c0493aac0ee7611a612996ac9c10cc5498a</t>
        </is>
      </c>
      <c r="K3350">
        <f>HYPERLINK("http://gitlab.osmosys.co/incident-reporter/incident-reporter-angular-portal/-/merge_requests/3426#note_236463", "Error toaster message is missing")</f>
        <v/>
      </c>
      <c r="L3350" t="inlineStr">
        <is>
          <t>2025-07-14 19:44:22.769 IST</t>
        </is>
      </c>
      <c r="M3350" t="inlineStr">
        <is>
          <t>Soundariya B</t>
        </is>
      </c>
      <c r="N3350" t="inlineStr">
        <is>
          <t>Yes</t>
        </is>
      </c>
      <c r="O3350" t="inlineStr">
        <is>
          <t>Yes</t>
        </is>
      </c>
      <c r="P3350" t="inlineStr">
        <is>
          <t>Sayan Mondal</t>
        </is>
      </c>
      <c r="Q3350" t="inlineStr">
        <is>
          <t>Bad</t>
        </is>
      </c>
    </row>
    <row r="3351">
      <c r="A3351" t="inlineStr">
        <is>
          <t>sayan.mondal</t>
        </is>
      </c>
      <c r="B3351" t="inlineStr">
        <is>
          <t>Sayan Mondal</t>
        </is>
      </c>
      <c r="C3351" t="inlineStr">
        <is>
          <t>sayan.m@osmosys.co</t>
        </is>
      </c>
      <c r="D3351" t="inlineStr">
        <is>
          <t>incident-reporter</t>
        </is>
      </c>
      <c r="E3351">
        <f>HYPERLINK("http://gitlab.osmosys.co/incident-reporter/incident-reporter-angular-portal", "OQSHA Portal")</f>
        <v/>
      </c>
      <c r="F3351">
        <f>HYPERLINK("http://gitlab.osmosys.co/incident-reporter/incident-reporter-angular-portal/-/merge_requests/3426", "feat: add reported by type add-edit ticket page")</f>
        <v/>
      </c>
      <c r="G3351" t="inlineStr">
        <is>
          <t>feat/reported-user-type</t>
        </is>
      </c>
      <c r="H3351" t="inlineStr">
        <is>
          <t>sprint-17</t>
        </is>
      </c>
      <c r="I3351" t="inlineStr">
        <is>
          <t>merged</t>
        </is>
      </c>
      <c r="J3351" t="inlineStr">
        <is>
          <t>042b8577a6be589618ec0143c9cf5e0f51f38dc8</t>
        </is>
      </c>
      <c r="K3351">
        <f>HYPERLINK("http://gitlab.osmosys.co/incident-reporter/incident-reporter-angular-portal/-/merge_requests/3426#note_236464", "Same here")</f>
        <v/>
      </c>
      <c r="L3351" t="inlineStr">
        <is>
          <t>2025-07-14 19:44:22.820 IST</t>
        </is>
      </c>
      <c r="M3351" t="inlineStr">
        <is>
          <t>Soundariya B</t>
        </is>
      </c>
      <c r="N3351" t="inlineStr">
        <is>
          <t>Yes</t>
        </is>
      </c>
      <c r="O3351" t="inlineStr">
        <is>
          <t>Yes</t>
        </is>
      </c>
      <c r="P3351" t="inlineStr">
        <is>
          <t>Sayan Mondal</t>
        </is>
      </c>
      <c r="Q3351" t="inlineStr">
        <is>
          <t>Bad</t>
        </is>
      </c>
    </row>
    <row r="3352">
      <c r="A3352" t="inlineStr">
        <is>
          <t>sayan.mondal</t>
        </is>
      </c>
      <c r="B3352" t="inlineStr">
        <is>
          <t>Sayan Mondal</t>
        </is>
      </c>
      <c r="C3352" t="inlineStr">
        <is>
          <t>sayan.m@osmosys.co</t>
        </is>
      </c>
      <c r="D3352" t="inlineStr">
        <is>
          <t>incident-reporter</t>
        </is>
      </c>
      <c r="E3352">
        <f>HYPERLINK("http://gitlab.osmosys.co/incident-reporter/incident-reporter-angular-portal", "OQSHA Portal")</f>
        <v/>
      </c>
      <c r="F3352">
        <f>HYPERLINK("http://gitlab.osmosys.co/incident-reporter/incident-reporter-angular-portal/-/merge_requests/3426", "feat: add reported by type add-edit ticket page")</f>
        <v/>
      </c>
      <c r="G3352" t="inlineStr">
        <is>
          <t>feat/reported-user-type</t>
        </is>
      </c>
      <c r="H3352" t="inlineStr">
        <is>
          <t>sprint-17</t>
        </is>
      </c>
      <c r="I3352" t="inlineStr">
        <is>
          <t>merged</t>
        </is>
      </c>
      <c r="J3352" t="inlineStr">
        <is>
          <t>d6bc6a01be81f5ddd62fbe00c38701dd48dd0584</t>
        </is>
      </c>
      <c r="K3352">
        <f>HYPERLINK("http://gitlab.osmosys.co/incident-reporter/incident-reporter-angular-portal/-/merge_requests/3426#note_236465", "It should be - 'Select the user type'")</f>
        <v/>
      </c>
      <c r="L3352" t="inlineStr">
        <is>
          <t>2025-07-14 19:44:22.914 IST</t>
        </is>
      </c>
      <c r="M3352" t="inlineStr">
        <is>
          <t>Soundariya B</t>
        </is>
      </c>
      <c r="N3352" t="inlineStr">
        <is>
          <t>Yes</t>
        </is>
      </c>
      <c r="O3352" t="inlineStr">
        <is>
          <t>Yes</t>
        </is>
      </c>
      <c r="P3352" t="inlineStr">
        <is>
          <t>Raj Kumar</t>
        </is>
      </c>
      <c r="Q3352" t="inlineStr">
        <is>
          <t>Bad</t>
        </is>
      </c>
    </row>
    <row r="3353">
      <c r="A3353" t="inlineStr">
        <is>
          <t>sayan.mondal</t>
        </is>
      </c>
      <c r="B3353" t="inlineStr">
        <is>
          <t>Sayan Mondal</t>
        </is>
      </c>
      <c r="C3353" t="inlineStr">
        <is>
          <t>sayan.m@osmosys.co</t>
        </is>
      </c>
      <c r="D3353" t="inlineStr">
        <is>
          <t>incident-reporter</t>
        </is>
      </c>
      <c r="E3353">
        <f>HYPERLINK("http://gitlab.osmosys.co/incident-reporter/incident-reporter-angular-portal", "OQSHA Portal")</f>
        <v/>
      </c>
      <c r="F3353">
        <f>HYPERLINK("http://gitlab.osmosys.co/incident-reporter/incident-reporter-angular-portal/-/merge_requests/3426", "feat: add reported by type add-edit ticket page")</f>
        <v/>
      </c>
      <c r="G3353" t="inlineStr">
        <is>
          <t>feat/reported-user-type</t>
        </is>
      </c>
      <c r="H3353" t="inlineStr">
        <is>
          <t>sprint-17</t>
        </is>
      </c>
      <c r="I3353" t="inlineStr">
        <is>
          <t>merged</t>
        </is>
      </c>
      <c r="J3353" t="inlineStr">
        <is>
          <t>3d9991c67bac853794706a59943d897af74b09c4</t>
        </is>
      </c>
      <c r="K3353">
        <f>HYPERLINK("http://gitlab.osmosys.co/incident-reporter/incident-reporter-angular-portal/-/merge_requests/3426#note_236466", "It should be - 'Enter the company name'")</f>
        <v/>
      </c>
      <c r="L3353" t="inlineStr">
        <is>
          <t>2025-07-14 19:44:22.964 IST</t>
        </is>
      </c>
      <c r="M3353" t="inlineStr">
        <is>
          <t>Soundariya B</t>
        </is>
      </c>
      <c r="N3353" t="inlineStr">
        <is>
          <t>Yes</t>
        </is>
      </c>
      <c r="O3353" t="inlineStr">
        <is>
          <t>Yes</t>
        </is>
      </c>
      <c r="P3353" t="inlineStr">
        <is>
          <t>Raj Kumar</t>
        </is>
      </c>
      <c r="Q3353" t="inlineStr">
        <is>
          <t>Bad</t>
        </is>
      </c>
    </row>
    <row r="3354">
      <c r="A3354" t="inlineStr">
        <is>
          <t>sayan.mondal</t>
        </is>
      </c>
      <c r="B3354" t="inlineStr">
        <is>
          <t>Sayan Mondal</t>
        </is>
      </c>
      <c r="C3354" t="inlineStr">
        <is>
          <t>sayan.m@osmosys.co</t>
        </is>
      </c>
      <c r="D3354" t="inlineStr">
        <is>
          <t>incident-reporter</t>
        </is>
      </c>
      <c r="E3354">
        <f>HYPERLINK("http://gitlab.osmosys.co/incident-reporter/incident-reporter-angular-portal", "OQSHA Portal")</f>
        <v/>
      </c>
      <c r="F3354">
        <f>HYPERLINK("http://gitlab.osmosys.co/incident-reporter/incident-reporter-angular-portal/-/merge_requests/3426", "feat: add reported by type add-edit ticket page")</f>
        <v/>
      </c>
      <c r="G3354" t="inlineStr">
        <is>
          <t>feat/reported-user-type</t>
        </is>
      </c>
      <c r="H3354" t="inlineStr">
        <is>
          <t>sprint-17</t>
        </is>
      </c>
      <c r="I3354" t="inlineStr">
        <is>
          <t>merged</t>
        </is>
      </c>
      <c r="J3354" t="inlineStr">
        <is>
          <t>1088aa153ba55b979aa1f52e4577152315ededf0</t>
        </is>
      </c>
      <c r="K3354">
        <f>HYPERLINK("http://gitlab.osmosys.co/incident-reporter/incident-reporter-angular-portal/-/merge_requests/3426#note_236467", "It should be - 'On behalf of'")</f>
        <v/>
      </c>
      <c r="L3354" t="inlineStr">
        <is>
          <t>2025-07-14 19:44:23.015 IST</t>
        </is>
      </c>
      <c r="M3354" t="inlineStr">
        <is>
          <t>Soundariya B</t>
        </is>
      </c>
      <c r="N3354" t="inlineStr">
        <is>
          <t>Yes</t>
        </is>
      </c>
      <c r="O3354" t="inlineStr">
        <is>
          <t>Yes</t>
        </is>
      </c>
      <c r="P3354" t="inlineStr">
        <is>
          <t>Raj Kumar</t>
        </is>
      </c>
      <c r="Q3354" t="inlineStr">
        <is>
          <t>Bad</t>
        </is>
      </c>
    </row>
    <row r="3355">
      <c r="A3355" t="inlineStr">
        <is>
          <t>sayan.mondal</t>
        </is>
      </c>
      <c r="B3355" t="inlineStr">
        <is>
          <t>Sayan Mondal</t>
        </is>
      </c>
      <c r="C3355" t="inlineStr">
        <is>
          <t>sayan.m@osmosys.co</t>
        </is>
      </c>
      <c r="D3355" t="inlineStr">
        <is>
          <t>incident-reporter</t>
        </is>
      </c>
      <c r="E3355">
        <f>HYPERLINK("http://gitlab.osmosys.co/incident-reporter/incident-reporter-angular-portal", "OQSHA Portal")</f>
        <v/>
      </c>
      <c r="F3355">
        <f>HYPERLINK("http://gitlab.osmosys.co/incident-reporter/incident-reporter-angular-portal/-/merge_requests/3426", "feat: add reported by type add-edit ticket page")</f>
        <v/>
      </c>
      <c r="G3355" t="inlineStr">
        <is>
          <t>feat/reported-user-type</t>
        </is>
      </c>
      <c r="H3355" t="inlineStr">
        <is>
          <t>sprint-17</t>
        </is>
      </c>
      <c r="I3355" t="inlineStr">
        <is>
          <t>merged</t>
        </is>
      </c>
      <c r="J3355" t="inlineStr">
        <is>
          <t>1088aa153ba55b979aa1f52e4577152315ededf0</t>
        </is>
      </c>
      <c r="K3355">
        <f>HYPERLINK("http://gitlab.osmosys.co/incident-reporter/incident-reporter-angular-portal/-/merge_requests/3426#note_236511", "It will be contact name not on behalf of")</f>
        <v/>
      </c>
      <c r="L3355" t="inlineStr">
        <is>
          <t>2025-07-14 21:17:39.926 IST</t>
        </is>
      </c>
      <c r="M3355" t="inlineStr">
        <is>
          <t>Sayan Mondal</t>
        </is>
      </c>
      <c r="N3355" t="inlineStr">
        <is>
          <t>No</t>
        </is>
      </c>
      <c r="O3355" t="inlineStr">
        <is>
          <t>Yes</t>
        </is>
      </c>
      <c r="P3355" t="inlineStr">
        <is>
          <t>Raj Kumar</t>
        </is>
      </c>
      <c r="Q3355" t="inlineStr">
        <is>
          <t>Bad</t>
        </is>
      </c>
    </row>
    <row r="3356">
      <c r="A3356" t="inlineStr">
        <is>
          <t>sayan.mondal</t>
        </is>
      </c>
      <c r="B3356" t="inlineStr">
        <is>
          <t>Sayan Mondal</t>
        </is>
      </c>
      <c r="C3356" t="inlineStr">
        <is>
          <t>sayan.m@osmosys.co</t>
        </is>
      </c>
      <c r="D3356" t="inlineStr">
        <is>
          <t>incident-reporter</t>
        </is>
      </c>
      <c r="E3356">
        <f>HYPERLINK("http://gitlab.osmosys.co/incident-reporter/incident-reporter-angular-portal", "OQSHA Portal")</f>
        <v/>
      </c>
      <c r="F3356">
        <f>HYPERLINK("http://gitlab.osmosys.co/incident-reporter/incident-reporter-angular-portal/-/merge_requests/3383", "feat: add task option while add/edit inspection")</f>
        <v/>
      </c>
      <c r="G3356" t="inlineStr">
        <is>
          <t>feat/add-task</t>
        </is>
      </c>
      <c r="H3356" t="inlineStr">
        <is>
          <t>sprint-17</t>
        </is>
      </c>
      <c r="I3356" t="inlineStr">
        <is>
          <t>merged</t>
        </is>
      </c>
      <c r="J3356" t="inlineStr">
        <is>
          <t>6bac187ed18618553a3cf58cff8d1aadb082c411</t>
        </is>
      </c>
      <c r="K3356">
        <f>HYPERLINK("http://gitlab.osmosys.co/incident-reporter/incident-reporter-angular-portal/-/merge_requests/3383#note_233523", "For popup we should have title as like other modal popup - like Add new task")</f>
        <v/>
      </c>
      <c r="L3356" t="inlineStr">
        <is>
          <t>2025-07-09 14:01:23.343 IST</t>
        </is>
      </c>
      <c r="M3356" t="inlineStr">
        <is>
          <t>Soundariya B</t>
        </is>
      </c>
      <c r="N3356" t="inlineStr">
        <is>
          <t>Yes</t>
        </is>
      </c>
      <c r="O3356" t="inlineStr">
        <is>
          <t>Yes</t>
        </is>
      </c>
      <c r="P3356" t="inlineStr">
        <is>
          <t>Soundariya B</t>
        </is>
      </c>
      <c r="Q3356" t="inlineStr">
        <is>
          <t>Bad</t>
        </is>
      </c>
    </row>
    <row r="3357">
      <c r="A3357" t="inlineStr">
        <is>
          <t>sayan.mondal</t>
        </is>
      </c>
      <c r="B3357" t="inlineStr">
        <is>
          <t>Sayan Mondal</t>
        </is>
      </c>
      <c r="C3357" t="inlineStr">
        <is>
          <t>sayan.m@osmosys.co</t>
        </is>
      </c>
      <c r="D3357" t="inlineStr">
        <is>
          <t>incident-reporter</t>
        </is>
      </c>
      <c r="E3357">
        <f>HYPERLINK("http://gitlab.osmosys.co/incident-reporter/incident-reporter-angular-portal", "OQSHA Portal")</f>
        <v/>
      </c>
      <c r="F3357">
        <f>HYPERLINK("http://gitlab.osmosys.co/incident-reporter/incident-reporter-angular-portal/-/merge_requests/3383", "feat: add task option while add/edit inspection")</f>
        <v/>
      </c>
      <c r="G3357" t="inlineStr">
        <is>
          <t>feat/add-task</t>
        </is>
      </c>
      <c r="H3357" t="inlineStr">
        <is>
          <t>sprint-17</t>
        </is>
      </c>
      <c r="I3357" t="inlineStr">
        <is>
          <t>merged</t>
        </is>
      </c>
      <c r="J3357" t="inlineStr">
        <is>
          <t>6bac187ed18618553a3cf58cff8d1aadb082c411</t>
        </is>
      </c>
      <c r="K3357">
        <f>HYPERLINK("http://gitlab.osmosys.co/incident-reporter/incident-reporter-angular-portal/-/merge_requests/3383#note_233950", "@soundariya.b @kulsrestha.j had a similar task in the incident module which you already approved, he confirmed the changes with @RajKumar on how it should be. So, not making any changes.")</f>
        <v/>
      </c>
      <c r="L3357" t="inlineStr">
        <is>
          <t>2025-07-10 10:36:08.350 IST</t>
        </is>
      </c>
      <c r="M3357" t="inlineStr">
        <is>
          <t>Sayan Mondal</t>
        </is>
      </c>
      <c r="N3357" t="inlineStr">
        <is>
          <t>No</t>
        </is>
      </c>
      <c r="O3357" t="inlineStr">
        <is>
          <t>Yes</t>
        </is>
      </c>
      <c r="P3357" t="inlineStr">
        <is>
          <t>Soundariya B</t>
        </is>
      </c>
      <c r="Q3357" t="inlineStr">
        <is>
          <t>Bad</t>
        </is>
      </c>
    </row>
    <row r="3358">
      <c r="A3358" t="inlineStr">
        <is>
          <t>sayan.mondal</t>
        </is>
      </c>
      <c r="B3358" t="inlineStr">
        <is>
          <t>Sayan Mondal</t>
        </is>
      </c>
      <c r="C3358" t="inlineStr">
        <is>
          <t>sayan.m@osmosys.co</t>
        </is>
      </c>
      <c r="D3358" t="inlineStr">
        <is>
          <t>incident-reporter</t>
        </is>
      </c>
      <c r="E3358">
        <f>HYPERLINK("http://gitlab.osmosys.co/incident-reporter/incident-reporter-angular-portal", "OQSHA Portal")</f>
        <v/>
      </c>
      <c r="F3358">
        <f>HYPERLINK("http://gitlab.osmosys.co/incident-reporter/incident-reporter-angular-portal/-/merge_requests/3383", "feat: add task option while add/edit inspection")</f>
        <v/>
      </c>
      <c r="G3358" t="inlineStr">
        <is>
          <t>feat/add-task</t>
        </is>
      </c>
      <c r="H3358" t="inlineStr">
        <is>
          <t>sprint-17</t>
        </is>
      </c>
      <c r="I3358" t="inlineStr">
        <is>
          <t>merged</t>
        </is>
      </c>
      <c r="J3358" t="inlineStr">
        <is>
          <t>8650e32f97f6d0829c8bb6f5d27a8205843b92aa</t>
        </is>
      </c>
      <c r="K3358">
        <f>HYPERLINK("http://gitlab.osmosys.co/incident-reporter/incident-reporter-angular-portal/-/merge_requests/3383#note_233524", "When the values are not 0, we can use shorthand notation. Another thing is we should not use px when the value is 0.")</f>
        <v/>
      </c>
      <c r="L3358" t="inlineStr">
        <is>
          <t>2025-07-09 14:01:23.412 IST</t>
        </is>
      </c>
      <c r="M3358" t="inlineStr">
        <is>
          <t>Soundariya B</t>
        </is>
      </c>
      <c r="N3358" t="inlineStr">
        <is>
          <t>Yes</t>
        </is>
      </c>
      <c r="O3358" t="inlineStr">
        <is>
          <t>Yes</t>
        </is>
      </c>
      <c r="P3358" t="inlineStr">
        <is>
          <t>Soundariya B</t>
        </is>
      </c>
      <c r="Q3358" t="inlineStr">
        <is>
          <t>Bad</t>
        </is>
      </c>
    </row>
    <row r="3359">
      <c r="A3359" t="inlineStr">
        <is>
          <t>sayan.mondal</t>
        </is>
      </c>
      <c r="B3359" t="inlineStr">
        <is>
          <t>Sayan Mondal</t>
        </is>
      </c>
      <c r="C3359" t="inlineStr">
        <is>
          <t>sayan.m@osmosys.co</t>
        </is>
      </c>
      <c r="D3359" t="inlineStr">
        <is>
          <t>incident-reporter</t>
        </is>
      </c>
      <c r="E3359">
        <f>HYPERLINK("http://gitlab.osmosys.co/incident-reporter/incident-reporter-angular-portal", "OQSHA Portal")</f>
        <v/>
      </c>
      <c r="F3359">
        <f>HYPERLINK("http://gitlab.osmosys.co/incident-reporter/incident-reporter-angular-portal/-/merge_requests/3383", "feat: add task option while add/edit inspection")</f>
        <v/>
      </c>
      <c r="G3359" t="inlineStr">
        <is>
          <t>feat/add-task</t>
        </is>
      </c>
      <c r="H3359" t="inlineStr">
        <is>
          <t>sprint-17</t>
        </is>
      </c>
      <c r="I3359" t="inlineStr">
        <is>
          <t>merged</t>
        </is>
      </c>
      <c r="J3359" t="inlineStr">
        <is>
          <t>618531c97eb68152e7569e8165940b97c7f1ca97</t>
        </is>
      </c>
      <c r="K3359">
        <f>HYPERLINK("http://gitlab.osmosys.co/incident-reporter/incident-reporter-angular-portal/-/merge_requests/3383#note_233525", "Use the meaningful variable names")</f>
        <v/>
      </c>
      <c r="L3359" t="inlineStr">
        <is>
          <t>2025-07-09 14:01:23.506 IST</t>
        </is>
      </c>
      <c r="M3359" t="inlineStr">
        <is>
          <t>Soundariya B</t>
        </is>
      </c>
      <c r="N3359" t="inlineStr">
        <is>
          <t>Yes</t>
        </is>
      </c>
      <c r="O3359" t="inlineStr">
        <is>
          <t>Yes</t>
        </is>
      </c>
      <c r="P3359" t="inlineStr">
        <is>
          <t>Soundariya B</t>
        </is>
      </c>
      <c r="Q3359" t="inlineStr">
        <is>
          <t>Bad</t>
        </is>
      </c>
    </row>
    <row r="3360">
      <c r="A3360" t="inlineStr">
        <is>
          <t>sayan.mondal</t>
        </is>
      </c>
      <c r="B3360" t="inlineStr">
        <is>
          <t>Sayan Mondal</t>
        </is>
      </c>
      <c r="C3360" t="inlineStr">
        <is>
          <t>sayan.m@osmosys.co</t>
        </is>
      </c>
      <c r="D3360" t="inlineStr">
        <is>
          <t>incident-reporter</t>
        </is>
      </c>
      <c r="E3360">
        <f>HYPERLINK("http://gitlab.osmosys.co/incident-reporter/incident-reporter-angular-portal", "OQSHA Portal")</f>
        <v/>
      </c>
      <c r="F3360">
        <f>HYPERLINK("http://gitlab.osmosys.co/incident-reporter/incident-reporter-angular-portal/-/merge_requests/3383", "feat: add task option while add/edit inspection")</f>
        <v/>
      </c>
      <c r="G3360" t="inlineStr">
        <is>
          <t>feat/add-task</t>
        </is>
      </c>
      <c r="H3360" t="inlineStr">
        <is>
          <t>sprint-17</t>
        </is>
      </c>
      <c r="I3360" t="inlineStr">
        <is>
          <t>merged</t>
        </is>
      </c>
      <c r="J3360" t="inlineStr">
        <is>
          <t>ecadd86ffb41a717cd5897eb2fe16a3f68282d5f</t>
        </is>
      </c>
      <c r="K3360">
        <f>HYPERLINK("http://gitlab.osmosys.co/incident-reporter/incident-reporter-angular-portal/-/merge_requests/3383#note_233526", "Why here calling the same method with similar arguments?")</f>
        <v/>
      </c>
      <c r="L3360" t="inlineStr">
        <is>
          <t>2025-07-09 14:01:23.572 IST</t>
        </is>
      </c>
      <c r="M3360" t="inlineStr">
        <is>
          <t>Soundariya B</t>
        </is>
      </c>
      <c r="N3360" t="inlineStr">
        <is>
          <t>Yes</t>
        </is>
      </c>
      <c r="O3360" t="inlineStr">
        <is>
          <t>Yes</t>
        </is>
      </c>
      <c r="P3360" t="inlineStr">
        <is>
          <t>Soundariya B</t>
        </is>
      </c>
      <c r="Q3360" t="inlineStr">
        <is>
          <t>Neutral</t>
        </is>
      </c>
    </row>
    <row r="3361">
      <c r="A3361" t="inlineStr">
        <is>
          <t>sayan.mondal</t>
        </is>
      </c>
      <c r="B3361" t="inlineStr">
        <is>
          <t>Sayan Mondal</t>
        </is>
      </c>
      <c r="C3361" t="inlineStr">
        <is>
          <t>sayan.m@osmosys.co</t>
        </is>
      </c>
      <c r="D3361" t="inlineStr">
        <is>
          <t>incident-reporter</t>
        </is>
      </c>
      <c r="E3361">
        <f>HYPERLINK("http://gitlab.osmosys.co/incident-reporter/incident-reporter-angular-portal", "OQSHA Portal")</f>
        <v/>
      </c>
      <c r="F3361">
        <f>HYPERLINK("http://gitlab.osmosys.co/incident-reporter/incident-reporter-angular-portal/-/merge_requests/3383", "feat: add task option while add/edit inspection")</f>
        <v/>
      </c>
      <c r="G3361" t="inlineStr">
        <is>
          <t>feat/add-task</t>
        </is>
      </c>
      <c r="H3361" t="inlineStr">
        <is>
          <t>sprint-17</t>
        </is>
      </c>
      <c r="I3361" t="inlineStr">
        <is>
          <t>merged</t>
        </is>
      </c>
      <c r="J3361" t="inlineStr">
        <is>
          <t>ecadd86ffb41a717cd5897eb2fe16a3f68282d5f</t>
        </is>
      </c>
      <c r="K3361">
        <f>HYPERLINK("http://gitlab.osmosys.co/incident-reporter/incident-reporter-angular-portal/-/merge_requests/3383#note_233972", "Similar changes is been done here, [feat: add direct task association from tickets page (!3372) · Merge requests · incident-reporter / OQSHA Portal · GitLab](https://gitlab.osmosys.co/incident-reporter/incident-reporter-angular-portal/-/merge_requests/3372)
I added my changes done according to this PR, and all the threads are resolved.")</f>
        <v/>
      </c>
      <c r="L3361" t="inlineStr">
        <is>
          <t>2025-07-10 10:51:22.659 IST</t>
        </is>
      </c>
      <c r="M3361" t="inlineStr">
        <is>
          <t>Sayan Mondal</t>
        </is>
      </c>
      <c r="N3361" t="inlineStr">
        <is>
          <t>No</t>
        </is>
      </c>
      <c r="O3361" t="inlineStr">
        <is>
          <t>Yes</t>
        </is>
      </c>
      <c r="P3361" t="inlineStr">
        <is>
          <t>Soundariya B</t>
        </is>
      </c>
      <c r="Q3361" t="inlineStr">
        <is>
          <t>Neutral</t>
        </is>
      </c>
    </row>
    <row r="3362">
      <c r="A3362" t="inlineStr">
        <is>
          <t>sayan.mondal</t>
        </is>
      </c>
      <c r="B3362" t="inlineStr">
        <is>
          <t>Sayan Mondal</t>
        </is>
      </c>
      <c r="C3362" t="inlineStr">
        <is>
          <t>sayan.m@osmosys.co</t>
        </is>
      </c>
      <c r="D3362" t="inlineStr">
        <is>
          <t>incident-reporter</t>
        </is>
      </c>
      <c r="E3362">
        <f>HYPERLINK("http://gitlab.osmosys.co/incident-reporter/incident-reporter-angular-portal", "OQSHA Portal")</f>
        <v/>
      </c>
      <c r="F3362">
        <f>HYPERLINK("http://gitlab.osmosys.co/incident-reporter/incident-reporter-angular-portal/-/merge_requests/3383", "feat: add task option while add/edit inspection")</f>
        <v/>
      </c>
      <c r="G3362" t="inlineStr">
        <is>
          <t>feat/add-task</t>
        </is>
      </c>
      <c r="H3362" t="inlineStr">
        <is>
          <t>sprint-17</t>
        </is>
      </c>
      <c r="I3362" t="inlineStr">
        <is>
          <t>merged</t>
        </is>
      </c>
      <c r="J3362" t="inlineStr">
        <is>
          <t>ecadd86ffb41a717cd5897eb2fe16a3f68282d5f</t>
        </is>
      </c>
      <c r="K3362">
        <f>HYPERLINK("http://gitlab.osmosys.co/incident-reporter/incident-reporter-angular-portal/-/merge_requests/3383#note_233986", "I am not asking to change I just asking why it is like this?")</f>
        <v/>
      </c>
      <c r="L3362" t="inlineStr">
        <is>
          <t>2025-07-10 11:01:08.567 IST</t>
        </is>
      </c>
      <c r="M3362" t="inlineStr">
        <is>
          <t>Soundariya B</t>
        </is>
      </c>
      <c r="N3362" t="inlineStr">
        <is>
          <t>Yes</t>
        </is>
      </c>
      <c r="O3362" t="inlineStr">
        <is>
          <t>Yes</t>
        </is>
      </c>
      <c r="P3362" t="inlineStr">
        <is>
          <t>Soundariya B</t>
        </is>
      </c>
      <c r="Q3362" t="inlineStr">
        <is>
          <t>Neutral</t>
        </is>
      </c>
    </row>
    <row r="3363">
      <c r="A3363" t="inlineStr">
        <is>
          <t>sayan.mondal</t>
        </is>
      </c>
      <c r="B3363" t="inlineStr">
        <is>
          <t>Sayan Mondal</t>
        </is>
      </c>
      <c r="C3363" t="inlineStr">
        <is>
          <t>sayan.m@osmosys.co</t>
        </is>
      </c>
      <c r="D3363" t="inlineStr">
        <is>
          <t>incident-reporter</t>
        </is>
      </c>
      <c r="E3363">
        <f>HYPERLINK("http://gitlab.osmosys.co/incident-reporter/incident-reporter-angular-portal", "OQSHA Portal")</f>
        <v/>
      </c>
      <c r="F3363">
        <f>HYPERLINK("http://gitlab.osmosys.co/incident-reporter/incident-reporter-angular-portal/-/merge_requests/3383", "feat: add task option while add/edit inspection")</f>
        <v/>
      </c>
      <c r="G3363" t="inlineStr">
        <is>
          <t>feat/add-task</t>
        </is>
      </c>
      <c r="H3363" t="inlineStr">
        <is>
          <t>sprint-17</t>
        </is>
      </c>
      <c r="I3363" t="inlineStr">
        <is>
          <t>merged</t>
        </is>
      </c>
      <c r="J3363" t="inlineStr">
        <is>
          <t>dc63df9860f78b4daab3f539472b430a88035f43</t>
        </is>
      </c>
      <c r="K3363">
        <f>HYPERLINK("http://gitlab.osmosys.co/incident-reporter/incident-reporter-angular-portal/-/merge_requests/3383#note_233527", "We should not use px/percentage when the value is 0.
Remove the !important")</f>
        <v/>
      </c>
      <c r="L3363" t="inlineStr">
        <is>
          <t>2025-07-09 14:01:23.655 IST</t>
        </is>
      </c>
      <c r="M3363" t="inlineStr">
        <is>
          <t>Soundariya B</t>
        </is>
      </c>
      <c r="N3363" t="inlineStr">
        <is>
          <t>Yes</t>
        </is>
      </c>
      <c r="O3363" t="inlineStr">
        <is>
          <t>Yes</t>
        </is>
      </c>
      <c r="P3363" t="inlineStr">
        <is>
          <t>Soundariya B</t>
        </is>
      </c>
      <c r="Q3363" t="inlineStr">
        <is>
          <t>Bad</t>
        </is>
      </c>
    </row>
    <row r="3364">
      <c r="A3364" t="inlineStr">
        <is>
          <t>sayan.mondal</t>
        </is>
      </c>
      <c r="B3364" t="inlineStr">
        <is>
          <t>Sayan Mondal</t>
        </is>
      </c>
      <c r="C3364" t="inlineStr">
        <is>
          <t>sayan.m@osmosys.co</t>
        </is>
      </c>
      <c r="D3364" t="inlineStr">
        <is>
          <t>incident-reporter</t>
        </is>
      </c>
      <c r="E3364">
        <f>HYPERLINK("http://gitlab.osmosys.co/incident-reporter/incident-reporter-angular-portal", "OQSHA Portal")</f>
        <v/>
      </c>
      <c r="F3364">
        <f>HYPERLINK("http://gitlab.osmosys.co/incident-reporter/incident-reporter-angular-portal/-/merge_requests/3383", "feat: add task option while add/edit inspection")</f>
        <v/>
      </c>
      <c r="G3364" t="inlineStr">
        <is>
          <t>feat/add-task</t>
        </is>
      </c>
      <c r="H3364" t="inlineStr">
        <is>
          <t>sprint-17</t>
        </is>
      </c>
      <c r="I3364" t="inlineStr">
        <is>
          <t>merged</t>
        </is>
      </c>
      <c r="J3364" t="inlineStr">
        <is>
          <t>c14ee5537d9b310791bc6e6d13eb5ccc458268f6</t>
        </is>
      </c>
      <c r="K3364">
        <f>HYPERLINK("http://gitlab.osmosys.co/incident-reporter/incident-reporter-angular-portal/-/merge_requests/3383#note_233528", "When the values are not 0, we can use shorthand notation. Another thing is we should not use px when the value is 0.")</f>
        <v/>
      </c>
      <c r="L3364" t="inlineStr">
        <is>
          <t>2025-07-09 14:01:23.710 IST</t>
        </is>
      </c>
      <c r="M3364" t="inlineStr">
        <is>
          <t>Soundariya B</t>
        </is>
      </c>
      <c r="N3364" t="inlineStr">
        <is>
          <t>Yes</t>
        </is>
      </c>
      <c r="O3364" t="inlineStr">
        <is>
          <t>Yes</t>
        </is>
      </c>
      <c r="P3364" t="inlineStr">
        <is>
          <t>Soundariya B</t>
        </is>
      </c>
      <c r="Q3364" t="inlineStr">
        <is>
          <t>Bad</t>
        </is>
      </c>
    </row>
    <row r="3365">
      <c r="A3365" t="inlineStr">
        <is>
          <t>sayan.mondal</t>
        </is>
      </c>
      <c r="B3365" t="inlineStr">
        <is>
          <t>Sayan Mondal</t>
        </is>
      </c>
      <c r="C3365" t="inlineStr">
        <is>
          <t>sayan.m@osmosys.co</t>
        </is>
      </c>
      <c r="D3365" t="inlineStr">
        <is>
          <t>incident-reporter</t>
        </is>
      </c>
      <c r="E3365">
        <f>HYPERLINK("http://gitlab.osmosys.co/incident-reporter/incident-reporter-angular-portal", "OQSHA Portal")</f>
        <v/>
      </c>
      <c r="F3365">
        <f>HYPERLINK("http://gitlab.osmosys.co/incident-reporter/incident-reporter-angular-portal/-/merge_requests/3383", "feat: add task option while add/edit inspection")</f>
        <v/>
      </c>
      <c r="G3365" t="inlineStr">
        <is>
          <t>feat/add-task</t>
        </is>
      </c>
      <c r="H3365" t="inlineStr">
        <is>
          <t>sprint-17</t>
        </is>
      </c>
      <c r="I3365" t="inlineStr">
        <is>
          <t>merged</t>
        </is>
      </c>
      <c r="J3365" t="inlineStr">
        <is>
          <t>bc0d5e9cfbed00abfd6e3c71c51810de902b2ac6</t>
        </is>
      </c>
      <c r="K3365">
        <f>HYPERLINK("http://gitlab.osmosys.co/incident-reporter/incident-reporter-angular-portal/-/merge_requests/3383#note_233529", "Remove comments")</f>
        <v/>
      </c>
      <c r="L3365" t="inlineStr">
        <is>
          <t>2025-07-09 14:01:23.768 IST</t>
        </is>
      </c>
      <c r="M3365" t="inlineStr">
        <is>
          <t>Soundariya B</t>
        </is>
      </c>
      <c r="N3365" t="inlineStr">
        <is>
          <t>Yes</t>
        </is>
      </c>
      <c r="O3365" t="inlineStr">
        <is>
          <t>Yes</t>
        </is>
      </c>
      <c r="P3365" t="inlineStr">
        <is>
          <t>Soundariya B</t>
        </is>
      </c>
      <c r="Q3365" t="inlineStr">
        <is>
          <t>Bad</t>
        </is>
      </c>
    </row>
    <row r="3366">
      <c r="A3366" t="inlineStr">
        <is>
          <t>sayan.mondal</t>
        </is>
      </c>
      <c r="B3366" t="inlineStr">
        <is>
          <t>Sayan Mondal</t>
        </is>
      </c>
      <c r="C3366" t="inlineStr">
        <is>
          <t>sayan.m@osmosys.co</t>
        </is>
      </c>
      <c r="D3366" t="inlineStr">
        <is>
          <t>incident-reporter</t>
        </is>
      </c>
      <c r="E3366">
        <f>HYPERLINK("http://gitlab.osmosys.co/incident-reporter/incident-reporter-angular-portal", "OQSHA Portal")</f>
        <v/>
      </c>
      <c r="F3366">
        <f>HYPERLINK("http://gitlab.osmosys.co/incident-reporter/incident-reporter-angular-portal/-/merge_requests/3383", "feat: add task option while add/edit inspection")</f>
        <v/>
      </c>
      <c r="G3366" t="inlineStr">
        <is>
          <t>feat/add-task</t>
        </is>
      </c>
      <c r="H3366" t="inlineStr">
        <is>
          <t>sprint-17</t>
        </is>
      </c>
      <c r="I3366" t="inlineStr">
        <is>
          <t>merged</t>
        </is>
      </c>
      <c r="J3366" t="inlineStr">
        <is>
          <t>bcfd21f0d737878e5cabe7b806f2da658683a30d</t>
        </is>
      </c>
      <c r="K3366">
        <f>HYPERLINK("http://gitlab.osmosys.co/incident-reporter/incident-reporter-angular-portal/-/merge_requests/3383#note_233530", "Remove these")</f>
        <v/>
      </c>
      <c r="L3366" t="inlineStr">
        <is>
          <t>2025-07-09 14:01:23.860 IST</t>
        </is>
      </c>
      <c r="M3366" t="inlineStr">
        <is>
          <t>Soundariya B</t>
        </is>
      </c>
      <c r="N3366" t="inlineStr">
        <is>
          <t>Yes</t>
        </is>
      </c>
      <c r="O3366" t="inlineStr">
        <is>
          <t>Yes</t>
        </is>
      </c>
      <c r="P3366" t="inlineStr">
        <is>
          <t>Soundariya B</t>
        </is>
      </c>
      <c r="Q3366" t="inlineStr">
        <is>
          <t>Bad</t>
        </is>
      </c>
    </row>
    <row r="3367">
      <c r="A3367" t="inlineStr">
        <is>
          <t>sayan.mondal</t>
        </is>
      </c>
      <c r="B3367" t="inlineStr">
        <is>
          <t>Sayan Mondal</t>
        </is>
      </c>
      <c r="C3367" t="inlineStr">
        <is>
          <t>sayan.m@osmosys.co</t>
        </is>
      </c>
      <c r="D3367" t="inlineStr">
        <is>
          <t>incident-reporter</t>
        </is>
      </c>
      <c r="E3367">
        <f>HYPERLINK("http://gitlab.osmosys.co/incident-reporter/incident-reporter-angular-portal", "OQSHA Portal")</f>
        <v/>
      </c>
      <c r="F3367">
        <f>HYPERLINK("http://gitlab.osmosys.co/incident-reporter/incident-reporter-angular-portal/-/merge_requests/3383", "feat: add task option while add/edit inspection")</f>
        <v/>
      </c>
      <c r="G3367" t="inlineStr">
        <is>
          <t>feat/add-task</t>
        </is>
      </c>
      <c r="H3367" t="inlineStr">
        <is>
          <t>sprint-17</t>
        </is>
      </c>
      <c r="I3367" t="inlineStr">
        <is>
          <t>merged</t>
        </is>
      </c>
      <c r="J3367" t="inlineStr">
        <is>
          <t>bcfd21f0d737878e5cabe7b806f2da658683a30d</t>
        </is>
      </c>
      <c r="K3367">
        <f>HYPERLINK("http://gitlab.osmosys.co/incident-reporter/incident-reporter-angular-portal/-/merge_requests/3383#note_233964", "@soundariya.b These changes were already there and it isn't added by me, and If I remove this lot of other changes will come, which isn't related to my changes.")</f>
        <v/>
      </c>
      <c r="L3367" t="inlineStr">
        <is>
          <t>2025-07-10 10:47:24.947 IST</t>
        </is>
      </c>
      <c r="M3367" t="inlineStr">
        <is>
          <t>Sayan Mondal</t>
        </is>
      </c>
      <c r="N3367" t="inlineStr">
        <is>
          <t>No</t>
        </is>
      </c>
      <c r="O3367" t="inlineStr">
        <is>
          <t>Yes</t>
        </is>
      </c>
      <c r="P3367" t="inlineStr">
        <is>
          <t>Soundariya B</t>
        </is>
      </c>
      <c r="Q3367" t="inlineStr">
        <is>
          <t>Bad</t>
        </is>
      </c>
    </row>
    <row r="3368">
      <c r="A3368" t="inlineStr">
        <is>
          <t>sayan.mondal</t>
        </is>
      </c>
      <c r="B3368" t="inlineStr">
        <is>
          <t>Sayan Mondal</t>
        </is>
      </c>
      <c r="C3368" t="inlineStr">
        <is>
          <t>sayan.m@osmosys.co</t>
        </is>
      </c>
      <c r="D3368" t="inlineStr">
        <is>
          <t>incident-reporter</t>
        </is>
      </c>
      <c r="E3368">
        <f>HYPERLINK("http://gitlab.osmosys.co/incident-reporter/incident-reporter-angular-portal", "OQSHA Portal")</f>
        <v/>
      </c>
      <c r="F3368">
        <f>HYPERLINK("http://gitlab.osmosys.co/incident-reporter/incident-reporter-angular-portal/-/merge_requests/3383", "feat: add task option while add/edit inspection")</f>
        <v/>
      </c>
      <c r="G3368" t="inlineStr">
        <is>
          <t>feat/add-task</t>
        </is>
      </c>
      <c r="H3368" t="inlineStr">
        <is>
          <t>sprint-17</t>
        </is>
      </c>
      <c r="I3368" t="inlineStr">
        <is>
          <t>merged</t>
        </is>
      </c>
      <c r="J3368" t="inlineStr">
        <is>
          <t>bcfd21f0d737878e5cabe7b806f2da658683a30d</t>
        </is>
      </c>
      <c r="K3368">
        <f>HYPERLINK("http://gitlab.osmosys.co/incident-reporter/incident-reporter-angular-portal/-/merge_requests/3383#note_233987", "NOTE: THIS NEEDS TO BE FIX SOON
CC: @RajKumar")</f>
        <v/>
      </c>
      <c r="L3368" t="inlineStr">
        <is>
          <t>2025-07-10 11:03:42.323 IST</t>
        </is>
      </c>
      <c r="M3368" t="inlineStr">
        <is>
          <t>Soundariya B</t>
        </is>
      </c>
      <c r="N3368" t="inlineStr">
        <is>
          <t>Yes</t>
        </is>
      </c>
      <c r="O3368" t="inlineStr">
        <is>
          <t>Yes</t>
        </is>
      </c>
      <c r="P3368" t="inlineStr">
        <is>
          <t>Soundariya B</t>
        </is>
      </c>
      <c r="Q3368" t="inlineStr">
        <is>
          <t>Bad</t>
        </is>
      </c>
    </row>
    <row r="3369">
      <c r="A3369" t="inlineStr">
        <is>
          <t>sayan.mondal</t>
        </is>
      </c>
      <c r="B3369" t="inlineStr">
        <is>
          <t>Sayan Mondal</t>
        </is>
      </c>
      <c r="C3369" t="inlineStr">
        <is>
          <t>sayan.m@osmosys.co</t>
        </is>
      </c>
      <c r="D3369" t="inlineStr">
        <is>
          <t>incident-reporter</t>
        </is>
      </c>
      <c r="E3369">
        <f>HYPERLINK("http://gitlab.osmosys.co/incident-reporter/incident-reporter-angular-portal", "OQSHA Portal")</f>
        <v/>
      </c>
      <c r="F3369">
        <f>HYPERLINK("http://gitlab.osmosys.co/incident-reporter/incident-reporter-angular-portal/-/merge_requests/3383", "feat: add task option while add/edit inspection")</f>
        <v/>
      </c>
      <c r="G3369" t="inlineStr">
        <is>
          <t>feat/add-task</t>
        </is>
      </c>
      <c r="H3369" t="inlineStr">
        <is>
          <t>sprint-17</t>
        </is>
      </c>
      <c r="I3369" t="inlineStr">
        <is>
          <t>merged</t>
        </is>
      </c>
      <c r="J3369" t="inlineStr">
        <is>
          <t>d31620719b8834cd40aca17a0f3ecee0bbc559bf</t>
        </is>
      </c>
      <c r="K3369">
        <f>HYPERLINK("http://gitlab.osmosys.co/incident-reporter/incident-reporter-angular-portal/-/merge_requests/3383#note_233531", "Don't use **any** data type")</f>
        <v/>
      </c>
      <c r="L3369" t="inlineStr">
        <is>
          <t>2025-07-09 14:01:23.924 IST</t>
        </is>
      </c>
      <c r="M3369" t="inlineStr">
        <is>
          <t>Soundariya B</t>
        </is>
      </c>
      <c r="N3369" t="inlineStr">
        <is>
          <t>Yes</t>
        </is>
      </c>
      <c r="O3369" t="inlineStr">
        <is>
          <t>Yes</t>
        </is>
      </c>
      <c r="P3369" t="inlineStr">
        <is>
          <t>Soundariya B</t>
        </is>
      </c>
      <c r="Q3369" t="inlineStr">
        <is>
          <t>Bad</t>
        </is>
      </c>
    </row>
    <row r="3370">
      <c r="A3370" t="inlineStr">
        <is>
          <t>sayan.mondal</t>
        </is>
      </c>
      <c r="B3370" t="inlineStr">
        <is>
          <t>Sayan Mondal</t>
        </is>
      </c>
      <c r="C3370" t="inlineStr">
        <is>
          <t>sayan.m@osmosys.co</t>
        </is>
      </c>
      <c r="D3370" t="inlineStr">
        <is>
          <t>incident-reporter</t>
        </is>
      </c>
      <c r="E3370">
        <f>HYPERLINK("http://gitlab.osmosys.co/incident-reporter/incident-reporter-angular-portal", "OQSHA Portal")</f>
        <v/>
      </c>
      <c r="F3370">
        <f>HYPERLINK("http://gitlab.osmosys.co/incident-reporter/incident-reporter-angular-portal/-/merge_requests/3381", "fix: update delete note for inspection type")</f>
        <v/>
      </c>
      <c r="G3370" t="inlineStr">
        <is>
          <t>fix/inspection-type-delete</t>
        </is>
      </c>
      <c r="H3370" t="inlineStr">
        <is>
          <t>sprint-17</t>
        </is>
      </c>
      <c r="I3370" t="inlineStr">
        <is>
          <t>merged</t>
        </is>
      </c>
      <c r="J3370" t="inlineStr"/>
      <c r="K3370" t="inlineStr"/>
      <c r="L3370" t="inlineStr"/>
      <c r="M3370" t="inlineStr"/>
      <c r="N3370" t="inlineStr"/>
      <c r="O3370" t="inlineStr"/>
      <c r="P3370" t="inlineStr"/>
      <c r="Q3370" t="inlineStr"/>
    </row>
    <row r="3371">
      <c r="A3371" t="inlineStr">
        <is>
          <t>sayan.mondal</t>
        </is>
      </c>
      <c r="B3371" t="inlineStr">
        <is>
          <t>Sayan Mondal</t>
        </is>
      </c>
      <c r="C3371" t="inlineStr">
        <is>
          <t>sayan.m@osmosys.co</t>
        </is>
      </c>
      <c r="D3371" t="inlineStr">
        <is>
          <t>incident-reporter</t>
        </is>
      </c>
      <c r="E3371">
        <f>HYPERLINK("http://gitlab.osmosys.co/incident-reporter/incident-reporter-angular-portal", "OQSHA Portal")</f>
        <v/>
      </c>
      <c r="F3371">
        <f>HYPERLINK("http://gitlab.osmosys.co/incident-reporter/incident-reporter-angular-portal/-/merge_requests/3375", "fix: remove moduleName from user and notification")</f>
        <v/>
      </c>
      <c r="G3371" t="inlineStr">
        <is>
          <t>fix/user-dropdown</t>
        </is>
      </c>
      <c r="H3371" t="inlineStr">
        <is>
          <t>sprint-16</t>
        </is>
      </c>
      <c r="I3371" t="inlineStr">
        <is>
          <t>merged</t>
        </is>
      </c>
      <c r="J3371" t="inlineStr"/>
      <c r="K3371" t="inlineStr"/>
      <c r="L3371" t="inlineStr"/>
      <c r="M3371" t="inlineStr"/>
      <c r="N3371" t="inlineStr"/>
      <c r="O3371" t="inlineStr"/>
      <c r="P3371" t="inlineStr"/>
      <c r="Q3371" t="inlineStr"/>
    </row>
    <row r="3372">
      <c r="A3372" t="inlineStr">
        <is>
          <t>sayan.mondal</t>
        </is>
      </c>
      <c r="B3372" t="inlineStr">
        <is>
          <t>Sayan Mondal</t>
        </is>
      </c>
      <c r="C3372" t="inlineStr">
        <is>
          <t>sayan.m@osmosys.co</t>
        </is>
      </c>
      <c r="D3372" t="inlineStr">
        <is>
          <t>incident-reporter</t>
        </is>
      </c>
      <c r="E3372">
        <f>HYPERLINK("http://gitlab.osmosys.co/incident-reporter/incident-reporter-angular-portal", "OQSHA Portal")</f>
        <v/>
      </c>
      <c r="F3372">
        <f>HYPERLINK("http://gitlab.osmosys.co/incident-reporter/incident-reporter-angular-portal/-/merge_requests/3373", "fix: show all roles if the user is admin or org owner")</f>
        <v/>
      </c>
      <c r="G3372" t="inlineStr">
        <is>
          <t>fix/user-role</t>
        </is>
      </c>
      <c r="H3372" t="inlineStr">
        <is>
          <t>sprint-16</t>
        </is>
      </c>
      <c r="I3372" t="inlineStr">
        <is>
          <t>merged</t>
        </is>
      </c>
      <c r="J3372" t="inlineStr">
        <is>
          <t>8b24ae7a89f76ace97a115346e6c78194518db52</t>
        </is>
      </c>
      <c r="K3372">
        <f>HYPERLINK("http://gitlab.osmosys.co/incident-reporter/incident-reporter-angular-portal/-/merge_requests/3373#note_231454", "How are you getting this IS_ORGANISATION_OWNER? In login API, then it's the same problem Bhavana's code is having right?
That flag doesn't make sense because it's not specific to any organisation, it's just returning it in login details. It would have been useful if this flag comes for each organisation that user is part of.")</f>
        <v/>
      </c>
      <c r="L3372" t="inlineStr">
        <is>
          <t>2025-07-03 10:00:12.577 IST</t>
        </is>
      </c>
      <c r="M3372" t="inlineStr">
        <is>
          <t>Raj Kumar</t>
        </is>
      </c>
      <c r="N3372" t="inlineStr">
        <is>
          <t>Yes</t>
        </is>
      </c>
      <c r="O3372" t="inlineStr">
        <is>
          <t>Yes</t>
        </is>
      </c>
      <c r="P3372" t="inlineStr">
        <is>
          <t>Sayan Mondal</t>
        </is>
      </c>
      <c r="Q3372" t="inlineStr">
        <is>
          <t>Bad</t>
        </is>
      </c>
    </row>
    <row r="3373">
      <c r="A3373" t="inlineStr">
        <is>
          <t>sayan.mondal</t>
        </is>
      </c>
      <c r="B3373" t="inlineStr">
        <is>
          <t>Sayan Mondal</t>
        </is>
      </c>
      <c r="C3373" t="inlineStr">
        <is>
          <t>sayan.m@osmosys.co</t>
        </is>
      </c>
      <c r="D3373" t="inlineStr">
        <is>
          <t>incident-reporter</t>
        </is>
      </c>
      <c r="E3373">
        <f>HYPERLINK("http://gitlab.osmosys.co/incident-reporter/incident-reporter-angular-portal", "OQSHA Portal")</f>
        <v/>
      </c>
      <c r="F3373">
        <f>HYPERLINK("http://gitlab.osmosys.co/incident-reporter/incident-reporter-angular-portal/-/merge_requests/3373", "fix: show all roles if the user is admin or org owner")</f>
        <v/>
      </c>
      <c r="G3373" t="inlineStr">
        <is>
          <t>fix/user-role</t>
        </is>
      </c>
      <c r="H3373" t="inlineStr">
        <is>
          <t>sprint-16</t>
        </is>
      </c>
      <c r="I3373" t="inlineStr">
        <is>
          <t>merged</t>
        </is>
      </c>
      <c r="J3373" t="inlineStr">
        <is>
          <t>8b24ae7a89f76ace97a115346e6c78194518db52</t>
        </is>
      </c>
      <c r="K3373">
        <f>HYPERLINK("http://gitlab.osmosys.co/incident-reporter/incident-reporter-angular-portal/-/merge_requests/3373#note_231518", "![Screenshot 2025-07-03 115424.png](/uploads/1d128743c1b242f37df3ed5be039e6ca/Screenshot_2025-07-03_115424.png){width="392" height="207"}
@RajKumar I'm using this property to check if user is owner or not and it changes based on organisation. Bhavana was using a wrong flag due to which issue was coming.")</f>
        <v/>
      </c>
      <c r="L3373" t="inlineStr">
        <is>
          <t>2025-07-03 11:56:05.520 IST</t>
        </is>
      </c>
      <c r="M3373" t="inlineStr">
        <is>
          <t>Sayan Mondal</t>
        </is>
      </c>
      <c r="N3373" t="inlineStr">
        <is>
          <t>No</t>
        </is>
      </c>
      <c r="O3373" t="inlineStr">
        <is>
          <t>Yes</t>
        </is>
      </c>
      <c r="P3373" t="inlineStr">
        <is>
          <t>Sayan Mondal</t>
        </is>
      </c>
      <c r="Q3373" t="inlineStr">
        <is>
          <t>Bad</t>
        </is>
      </c>
    </row>
    <row r="3374">
      <c r="A3374" t="inlineStr">
        <is>
          <t>sayan.mondal</t>
        </is>
      </c>
      <c r="B3374" t="inlineStr">
        <is>
          <t>Sayan Mondal</t>
        </is>
      </c>
      <c r="C3374" t="inlineStr">
        <is>
          <t>sayan.m@osmosys.co</t>
        </is>
      </c>
      <c r="D3374" t="inlineStr">
        <is>
          <t>incident-reporter</t>
        </is>
      </c>
      <c r="E3374">
        <f>HYPERLINK("http://gitlab.osmosys.co/incident-reporter/incident-reporter-angular-portal", "OQSHA Portal")</f>
        <v/>
      </c>
      <c r="F3374">
        <f>HYPERLINK("http://gitlab.osmosys.co/incident-reporter/incident-reporter-angular-portal/-/merge_requests/3373", "fix: show all roles if the user is admin or org owner")</f>
        <v/>
      </c>
      <c r="G3374" t="inlineStr">
        <is>
          <t>fix/user-role</t>
        </is>
      </c>
      <c r="H3374" t="inlineStr">
        <is>
          <t>sprint-16</t>
        </is>
      </c>
      <c r="I3374" t="inlineStr">
        <is>
          <t>merged</t>
        </is>
      </c>
      <c r="J3374" t="inlineStr">
        <is>
          <t>8b24ae7a89f76ace97a115346e6c78194518db52</t>
        </is>
      </c>
      <c r="K3374">
        <f>HYPERLINK("http://gitlab.osmosys.co/incident-reporter/incident-reporter-angular-portal/-/merge_requests/3373#note_231553", "How will it change based on organisation? I'm part of two organisations, I'm a owner in one organisation, portal user in another organisation. Now what will be the value of IsOwner? Based on which organisation?")</f>
        <v/>
      </c>
      <c r="L3374" t="inlineStr">
        <is>
          <t>2025-07-03 12:36:09.353 IST</t>
        </is>
      </c>
      <c r="M3374" t="inlineStr">
        <is>
          <t>Raj Kumar</t>
        </is>
      </c>
      <c r="N3374" t="inlineStr">
        <is>
          <t>Yes</t>
        </is>
      </c>
      <c r="O3374" t="inlineStr">
        <is>
          <t>Yes</t>
        </is>
      </c>
      <c r="P3374" t="inlineStr">
        <is>
          <t>Sayan Mondal</t>
        </is>
      </c>
      <c r="Q3374" t="inlineStr">
        <is>
          <t>Bad</t>
        </is>
      </c>
    </row>
    <row r="3375">
      <c r="A3375" t="inlineStr">
        <is>
          <t>sayan.mondal</t>
        </is>
      </c>
      <c r="B3375" t="inlineStr">
        <is>
          <t>Sayan Mondal</t>
        </is>
      </c>
      <c r="C3375" t="inlineStr">
        <is>
          <t>sayan.m@osmosys.co</t>
        </is>
      </c>
      <c r="D3375" t="inlineStr">
        <is>
          <t>incident-reporter</t>
        </is>
      </c>
      <c r="E3375">
        <f>HYPERLINK("http://gitlab.osmosys.co/incident-reporter/incident-reporter-angular-portal", "OQSHA Portal")</f>
        <v/>
      </c>
      <c r="F3375">
        <f>HYPERLINK("http://gitlab.osmosys.co/incident-reporter/incident-reporter-angular-portal/-/merge_requests/3373", "fix: show all roles if the user is admin or org owner")</f>
        <v/>
      </c>
      <c r="G3375" t="inlineStr">
        <is>
          <t>fix/user-role</t>
        </is>
      </c>
      <c r="H3375" t="inlineStr">
        <is>
          <t>sprint-16</t>
        </is>
      </c>
      <c r="I3375" t="inlineStr">
        <is>
          <t>merged</t>
        </is>
      </c>
      <c r="J3375" t="inlineStr">
        <is>
          <t>8b24ae7a89f76ace97a115346e6c78194518db52</t>
        </is>
      </c>
      <c r="K3375">
        <f>HYPERLINK("http://gitlab.osmosys.co/incident-reporter/incident-reporter-angular-portal/-/merge_requests/3373#note_231554", "Bhavana was using the same flag, that's why I asked you to fix and you ended up using the same?")</f>
        <v/>
      </c>
      <c r="L3375" t="inlineStr">
        <is>
          <t>2025-07-03 12:36:40.749 IST</t>
        </is>
      </c>
      <c r="M3375" t="inlineStr">
        <is>
          <t>Raj Kumar</t>
        </is>
      </c>
      <c r="N3375" t="inlineStr">
        <is>
          <t>Yes</t>
        </is>
      </c>
      <c r="O3375" t="inlineStr">
        <is>
          <t>Yes</t>
        </is>
      </c>
      <c r="P3375" t="inlineStr">
        <is>
          <t>Sayan Mondal</t>
        </is>
      </c>
      <c r="Q3375" t="inlineStr">
        <is>
          <t>Bad</t>
        </is>
      </c>
    </row>
    <row r="3376">
      <c r="A3376" t="inlineStr">
        <is>
          <t>sayan.mondal</t>
        </is>
      </c>
      <c r="B3376" t="inlineStr">
        <is>
          <t>Sayan Mondal</t>
        </is>
      </c>
      <c r="C3376" t="inlineStr">
        <is>
          <t>sayan.m@osmosys.co</t>
        </is>
      </c>
      <c r="D3376" t="inlineStr">
        <is>
          <t>incident-reporter</t>
        </is>
      </c>
      <c r="E3376">
        <f>HYPERLINK("http://gitlab.osmosys.co/incident-reporter/incident-reporter-angular-portal", "OQSHA Portal")</f>
        <v/>
      </c>
      <c r="F3376">
        <f>HYPERLINK("http://gitlab.osmosys.co/incident-reporter/incident-reporter-angular-portal/-/merge_requests/3373", "fix: show all roles if the user is admin or org owner")</f>
        <v/>
      </c>
      <c r="G3376" t="inlineStr">
        <is>
          <t>fix/user-role</t>
        </is>
      </c>
      <c r="H3376" t="inlineStr">
        <is>
          <t>sprint-16</t>
        </is>
      </c>
      <c r="I3376" t="inlineStr">
        <is>
          <t>merged</t>
        </is>
      </c>
      <c r="J3376" t="inlineStr">
        <is>
          <t>8b24ae7a89f76ace97a115346e6c78194518db52</t>
        </is>
      </c>
      <c r="K3376">
        <f>HYPERLINK("http://gitlab.osmosys.co/incident-reporter/incident-reporter-angular-portal/-/merge_requests/3373#note_231573", "@RajKumar  the case which you mentioned according to my current implemented logic if user login into an org which he is owner isOwner flag will be true but when he switches to different org where he is just a portal user there as well the flag will be true. At the time of login, Login API returns me if user is owner or not
 ")</f>
        <v/>
      </c>
      <c r="L3376" t="inlineStr">
        <is>
          <t>2025-07-03 12:54:31.114 IST</t>
        </is>
      </c>
      <c r="M3376" t="inlineStr">
        <is>
          <t>Sayan Mondal</t>
        </is>
      </c>
      <c r="N3376" t="inlineStr">
        <is>
          <t>No</t>
        </is>
      </c>
      <c r="O3376" t="inlineStr">
        <is>
          <t>Yes</t>
        </is>
      </c>
      <c r="P3376" t="inlineStr">
        <is>
          <t>Sayan Mondal</t>
        </is>
      </c>
      <c r="Q3376" t="inlineStr">
        <is>
          <t>Bad</t>
        </is>
      </c>
    </row>
    <row r="3377">
      <c r="A3377" t="inlineStr">
        <is>
          <t>sayan.mondal</t>
        </is>
      </c>
      <c r="B3377" t="inlineStr">
        <is>
          <t>Sayan Mondal</t>
        </is>
      </c>
      <c r="C3377" t="inlineStr">
        <is>
          <t>sayan.m@osmosys.co</t>
        </is>
      </c>
      <c r="D3377" t="inlineStr">
        <is>
          <t>incident-reporter</t>
        </is>
      </c>
      <c r="E3377">
        <f>HYPERLINK("http://gitlab.osmosys.co/incident-reporter/incident-reporter-angular-portal", "OQSHA Portal")</f>
        <v/>
      </c>
      <c r="F3377">
        <f>HYPERLINK("http://gitlab.osmosys.co/incident-reporter/incident-reporter-angular-portal/-/merge_requests/3373", "fix: show all roles if the user is admin or org owner")</f>
        <v/>
      </c>
      <c r="G3377" t="inlineStr">
        <is>
          <t>fix/user-role</t>
        </is>
      </c>
      <c r="H3377" t="inlineStr">
        <is>
          <t>sprint-16</t>
        </is>
      </c>
      <c r="I3377" t="inlineStr">
        <is>
          <t>merged</t>
        </is>
      </c>
      <c r="J3377" t="inlineStr">
        <is>
          <t>8b24ae7a89f76ace97a115346e6c78194518db52</t>
        </is>
      </c>
      <c r="K3377">
        <f>HYPERLINK("http://gitlab.osmosys.co/incident-reporter/incident-reporter-angular-portal/-/merge_requests/3373#note_231580", "@RajKumar changed the logic as you asked")</f>
        <v/>
      </c>
      <c r="L3377" t="inlineStr">
        <is>
          <t>2025-07-03 13:41:42.450 IST</t>
        </is>
      </c>
      <c r="M3377" t="inlineStr">
        <is>
          <t>Sayan Mondal</t>
        </is>
      </c>
      <c r="N3377" t="inlineStr">
        <is>
          <t>No</t>
        </is>
      </c>
      <c r="O3377" t="inlineStr">
        <is>
          <t>Yes</t>
        </is>
      </c>
      <c r="P3377" t="inlineStr">
        <is>
          <t>Sayan Mondal</t>
        </is>
      </c>
      <c r="Q3377" t="inlineStr">
        <is>
          <t>Bad</t>
        </is>
      </c>
    </row>
    <row r="3378">
      <c r="A3378" t="inlineStr">
        <is>
          <t>sayan.mondal</t>
        </is>
      </c>
      <c r="B3378" t="inlineStr">
        <is>
          <t>Sayan Mondal</t>
        </is>
      </c>
      <c r="C3378" t="inlineStr">
        <is>
          <t>sayan.m@osmosys.co</t>
        </is>
      </c>
      <c r="D3378" t="inlineStr">
        <is>
          <t>incident-reporter</t>
        </is>
      </c>
      <c r="E3378">
        <f>HYPERLINK("http://gitlab.osmosys.co/incident-reporter/incident-reporter-angular-portal", "OQSHA Portal")</f>
        <v/>
      </c>
      <c r="F3378">
        <f>HYPERLINK("http://gitlab.osmosys.co/incident-reporter/incident-reporter-angular-portal/-/merge_requests/3368", "fix: update the api url to get user in notification")</f>
        <v/>
      </c>
      <c r="G3378" t="inlineStr">
        <is>
          <t>fix/user-module</t>
        </is>
      </c>
      <c r="H3378" t="inlineStr">
        <is>
          <t>sprint-16</t>
        </is>
      </c>
      <c r="I3378" t="inlineStr">
        <is>
          <t>merged</t>
        </is>
      </c>
      <c r="J3378" t="inlineStr"/>
      <c r="K3378" t="inlineStr"/>
      <c r="L3378" t="inlineStr"/>
      <c r="M3378" t="inlineStr"/>
      <c r="N3378" t="inlineStr"/>
      <c r="O3378" t="inlineStr"/>
      <c r="P3378" t="inlineStr"/>
      <c r="Q3378" t="inlineStr"/>
    </row>
    <row r="3379">
      <c r="A3379" t="inlineStr">
        <is>
          <t>sayan.mondal</t>
        </is>
      </c>
      <c r="B3379" t="inlineStr">
        <is>
          <t>Sayan Mondal</t>
        </is>
      </c>
      <c r="C3379" t="inlineStr">
        <is>
          <t>sayan.m@osmosys.co</t>
        </is>
      </c>
      <c r="D3379" t="inlineStr">
        <is>
          <t>incident-reporter</t>
        </is>
      </c>
      <c r="E3379">
        <f>HYPERLINK("http://gitlab.osmosys.co/incident-reporter/incident-reporter-app", "OQSHA Mobile App")</f>
        <v/>
      </c>
      <c r="F3379">
        <f>HYPERLINK("http://gitlab.osmosys.co/incident-reporter/incident-reporter-app/-/merge_requests/1855", "fix: add email validation for contractor user")</f>
        <v/>
      </c>
      <c r="G3379" t="inlineStr">
        <is>
          <t>fix/email-validation</t>
        </is>
      </c>
      <c r="H3379" t="inlineStr">
        <is>
          <t>sprint-19</t>
        </is>
      </c>
      <c r="I3379" t="inlineStr">
        <is>
          <t>opened</t>
        </is>
      </c>
      <c r="J3379" t="inlineStr">
        <is>
          <t>f828e5c6834f9a51f5b0ca73a91f8f3c9ec1e83e</t>
        </is>
      </c>
      <c r="K3379">
        <f>HYPERLINK("http://gitlab.osmosys.co/incident-reporter/incident-reporter-app/-/merge_requests/1855#note_245953", "Such kind of test cases is not acceptable please add the test cases which all possible cases which QA should test and also which are tested by QA that cases should also be there and tested.
No test cases and no screen recording")</f>
        <v/>
      </c>
      <c r="L3379" t="inlineStr">
        <is>
          <t>2025-08-02 03:29:58.019 IST</t>
        </is>
      </c>
      <c r="M3379" t="inlineStr">
        <is>
          <t>Soundariya B</t>
        </is>
      </c>
      <c r="N3379" t="inlineStr">
        <is>
          <t>Yes</t>
        </is>
      </c>
      <c r="O3379" t="inlineStr">
        <is>
          <t>Yes</t>
        </is>
      </c>
      <c r="P3379" t="inlineStr">
        <is>
          <t>Soundariya B</t>
        </is>
      </c>
      <c r="Q3379" t="inlineStr">
        <is>
          <t>Bad</t>
        </is>
      </c>
    </row>
    <row r="3380">
      <c r="A3380" t="inlineStr">
        <is>
          <t>sayan.mondal</t>
        </is>
      </c>
      <c r="B3380" t="inlineStr">
        <is>
          <t>Sayan Mondal</t>
        </is>
      </c>
      <c r="C3380" t="inlineStr">
        <is>
          <t>sayan.m@osmosys.co</t>
        </is>
      </c>
      <c r="D3380" t="inlineStr">
        <is>
          <t>incident-reporter</t>
        </is>
      </c>
      <c r="E3380">
        <f>HYPERLINK("http://gitlab.osmosys.co/incident-reporter/incident-reporter-app", "OQSHA Mobile App")</f>
        <v/>
      </c>
      <c r="F3380">
        <f>HYPERLINK("http://gitlab.osmosys.co/incident-reporter/incident-reporter-app/-/merge_requests/1855", "fix: add email validation for contractor user")</f>
        <v/>
      </c>
      <c r="G3380" t="inlineStr">
        <is>
          <t>fix/email-validation</t>
        </is>
      </c>
      <c r="H3380" t="inlineStr">
        <is>
          <t>sprint-19</t>
        </is>
      </c>
      <c r="I3380" t="inlineStr">
        <is>
          <t>opened</t>
        </is>
      </c>
      <c r="J3380" t="inlineStr">
        <is>
          <t>f828e5c6834f9a51f5b0ca73a91f8f3c9ec1e83e</t>
        </is>
      </c>
      <c r="K3380">
        <f>HYPERLINK("http://gitlab.osmosys.co/incident-reporter/incident-reporter-app/-/merge_requests/1855#note_245956", "As Sindhu said if no testcase or screen recording or SS attached then don't approve it - its needed for the proof of testing of this PR changes")</f>
        <v/>
      </c>
      <c r="L3380" t="inlineStr">
        <is>
          <t>2025-08-02 03:30:31.235 IST</t>
        </is>
      </c>
      <c r="M3380" t="inlineStr">
        <is>
          <t>Soundariya B</t>
        </is>
      </c>
      <c r="N3380" t="inlineStr">
        <is>
          <t>Yes</t>
        </is>
      </c>
      <c r="O3380" t="inlineStr">
        <is>
          <t>Yes</t>
        </is>
      </c>
      <c r="P3380" t="inlineStr">
        <is>
          <t>Soundariya B</t>
        </is>
      </c>
      <c r="Q3380" t="inlineStr">
        <is>
          <t>Bad</t>
        </is>
      </c>
    </row>
    <row r="3381">
      <c r="A3381" t="inlineStr">
        <is>
          <t>sayan.mondal</t>
        </is>
      </c>
      <c r="B3381" t="inlineStr">
        <is>
          <t>Sayan Mondal</t>
        </is>
      </c>
      <c r="C3381" t="inlineStr">
        <is>
          <t>sayan.m@osmosys.co</t>
        </is>
      </c>
      <c r="D3381" t="inlineStr">
        <is>
          <t>incident-reporter</t>
        </is>
      </c>
      <c r="E3381">
        <f>HYPERLINK("http://gitlab.osmosys.co/incident-reporter/incident-reporter-app", "OQSHA Mobile App")</f>
        <v/>
      </c>
      <c r="F3381">
        <f>HYPERLINK("http://gitlab.osmosys.co/incident-reporter/incident-reporter-app/-/merge_requests/1849", "fix: change isonline flag value and fix company users checklist")</f>
        <v/>
      </c>
      <c r="G3381" t="inlineStr">
        <is>
          <t>fix/ptw-bug</t>
        </is>
      </c>
      <c r="H3381" t="inlineStr">
        <is>
          <t>sprint-18</t>
        </is>
      </c>
      <c r="I3381" t="inlineStr">
        <is>
          <t>merged</t>
        </is>
      </c>
      <c r="J3381" t="inlineStr"/>
      <c r="K3381" t="inlineStr"/>
      <c r="L3381" t="inlineStr"/>
      <c r="M3381" t="inlineStr"/>
      <c r="N3381" t="inlineStr"/>
      <c r="O3381" t="inlineStr"/>
      <c r="P3381" t="inlineStr"/>
      <c r="Q3381" t="inlineStr"/>
    </row>
    <row r="3382">
      <c r="A3382" t="inlineStr">
        <is>
          <t>sayan.mondal</t>
        </is>
      </c>
      <c r="B3382" t="inlineStr">
        <is>
          <t>Sayan Mondal</t>
        </is>
      </c>
      <c r="C3382" t="inlineStr">
        <is>
          <t>sayan.m@osmosys.co</t>
        </is>
      </c>
      <c r="D3382" t="inlineStr">
        <is>
          <t>incident-reporter</t>
        </is>
      </c>
      <c r="E3382">
        <f>HYPERLINK("http://gitlab.osmosys.co/incident-reporter/incident-reporter-app", "OQSHA Mobile App")</f>
        <v/>
      </c>
      <c r="F3382">
        <f>HYPERLINK("http://gitlab.osmosys.co/incident-reporter/incident-reporter-app/-/merge_requests/1846", "fix: remove dependency of date from ptw shift times")</f>
        <v/>
      </c>
      <c r="G3382" t="inlineStr">
        <is>
          <t>fix/ptw-shift</t>
        </is>
      </c>
      <c r="H3382" t="inlineStr">
        <is>
          <t>sprint-18</t>
        </is>
      </c>
      <c r="I3382" t="inlineStr">
        <is>
          <t>merged</t>
        </is>
      </c>
      <c r="J3382" t="inlineStr"/>
      <c r="K3382" t="inlineStr"/>
      <c r="L3382" t="inlineStr"/>
      <c r="M3382" t="inlineStr"/>
      <c r="N3382" t="inlineStr"/>
      <c r="O3382" t="inlineStr"/>
      <c r="P3382" t="inlineStr"/>
      <c r="Q3382" t="inlineStr"/>
    </row>
    <row r="3383">
      <c r="A3383" t="inlineStr">
        <is>
          <t>sayan.mondal</t>
        </is>
      </c>
      <c r="B3383" t="inlineStr">
        <is>
          <t>Sayan Mondal</t>
        </is>
      </c>
      <c r="C3383" t="inlineStr">
        <is>
          <t>sayan.m@osmosys.co</t>
        </is>
      </c>
      <c r="D3383" t="inlineStr">
        <is>
          <t>incident-reporter</t>
        </is>
      </c>
      <c r="E3383">
        <f>HYPERLINK("http://gitlab.osmosys.co/incident-reporter/incident-reporter-app", "OQSHA Mobile App")</f>
        <v/>
      </c>
      <c r="F3383">
        <f>HYPERLINK("http://gitlab.osmosys.co/incident-reporter/incident-reporter-app/-/merge_requests/1845", "fix: fix incorrect isonline flag value in create ptw")</f>
        <v/>
      </c>
      <c r="G3383" t="inlineStr">
        <is>
          <t>fix/ismanual</t>
        </is>
      </c>
      <c r="H3383" t="inlineStr">
        <is>
          <t>sprint-18</t>
        </is>
      </c>
      <c r="I3383" t="inlineStr">
        <is>
          <t>merged</t>
        </is>
      </c>
      <c r="J3383" t="inlineStr"/>
      <c r="K3383" t="inlineStr"/>
      <c r="L3383" t="inlineStr"/>
      <c r="M3383" t="inlineStr"/>
      <c r="N3383" t="inlineStr"/>
      <c r="O3383" t="inlineStr"/>
      <c r="P3383" t="inlineStr"/>
      <c r="Q3383" t="inlineStr"/>
    </row>
    <row r="3384">
      <c r="A3384" t="inlineStr">
        <is>
          <t>sayan.mondal</t>
        </is>
      </c>
      <c r="B3384" t="inlineStr">
        <is>
          <t>Sayan Mondal</t>
        </is>
      </c>
      <c r="C3384" t="inlineStr">
        <is>
          <t>sayan.m@osmosys.co</t>
        </is>
      </c>
      <c r="D3384" t="inlineStr">
        <is>
          <t>incident-reporter</t>
        </is>
      </c>
      <c r="E3384">
        <f>HYPERLINK("http://gitlab.osmosys.co/incident-reporter/incident-reporter-app", "OQSHA Mobile App")</f>
        <v/>
      </c>
      <c r="F3384">
        <f>HYPERLINK("http://gitlab.osmosys.co/incident-reporter/incident-reporter-app/-/merge_requests/1837", "feat: add associated shifts to ptw")</f>
        <v/>
      </c>
      <c r="G3384" t="inlineStr">
        <is>
          <t>feat/ptw-shift</t>
        </is>
      </c>
      <c r="H3384" t="inlineStr">
        <is>
          <t>sprint-18</t>
        </is>
      </c>
      <c r="I3384" t="inlineStr">
        <is>
          <t>merged</t>
        </is>
      </c>
      <c r="J3384" t="inlineStr">
        <is>
          <t>3c8c869b245bd5b79571ed1f971f4cc08c20d2ef</t>
        </is>
      </c>
      <c r="K3384">
        <f>HYPERLINK("http://gitlab.osmosys.co/incident-reporter/incident-reporter-app/-/merge_requests/1837#note_242810", "http://gitlab.osmosys.co/incident-reporter/incident-reporter-angular-portal/-/merge_requests/3620#note_242793
http://gitlab.osmosys.co/incident-reporter/incident-reporter-angular-portal/-/merge_requests/3620#note_242795")</f>
        <v/>
      </c>
      <c r="L3384" t="inlineStr">
        <is>
          <t>2025-07-28 11:52:07.017 IST</t>
        </is>
      </c>
      <c r="M3384" t="inlineStr">
        <is>
          <t>Soundariya B</t>
        </is>
      </c>
      <c r="N3384" t="inlineStr">
        <is>
          <t>Yes</t>
        </is>
      </c>
      <c r="O3384" t="inlineStr">
        <is>
          <t>Yes</t>
        </is>
      </c>
      <c r="P3384" t="inlineStr">
        <is>
          <t>Soundariya B</t>
        </is>
      </c>
      <c r="Q3384" t="inlineStr">
        <is>
          <t>Neutral</t>
        </is>
      </c>
    </row>
    <row r="3385">
      <c r="A3385" t="inlineStr">
        <is>
          <t>sayan.mondal</t>
        </is>
      </c>
      <c r="B3385" t="inlineStr">
        <is>
          <t>Sayan Mondal</t>
        </is>
      </c>
      <c r="C3385" t="inlineStr">
        <is>
          <t>sayan.m@osmosys.co</t>
        </is>
      </c>
      <c r="D3385" t="inlineStr">
        <is>
          <t>incident-reporter</t>
        </is>
      </c>
      <c r="E3385">
        <f>HYPERLINK("http://gitlab.osmosys.co/incident-reporter/incident-reporter-app", "OQSHA Mobile App")</f>
        <v/>
      </c>
      <c r="F3385">
        <f>HYPERLINK("http://gitlab.osmosys.co/incident-reporter/incident-reporter-app/-/merge_requests/1837", "feat: add associated shifts to ptw")</f>
        <v/>
      </c>
      <c r="G3385" t="inlineStr">
        <is>
          <t>feat/ptw-shift</t>
        </is>
      </c>
      <c r="H3385" t="inlineStr">
        <is>
          <t>sprint-18</t>
        </is>
      </c>
      <c r="I3385" t="inlineStr">
        <is>
          <t>merged</t>
        </is>
      </c>
      <c r="J3385" t="inlineStr">
        <is>
          <t>34221e780cbe726aa33615fa006811d7ff845b4f</t>
        </is>
      </c>
      <c r="K3385">
        <f>HYPERLINK("http://gitlab.osmosys.co/incident-reporter/incident-reporter-app/-/merge_requests/1837#note_242811", "http://gitlab.osmosys.co/incident-reporter/incident-reporter-angular-portal/-/merge_requests/3620#note_242796")</f>
        <v/>
      </c>
      <c r="L3385" t="inlineStr">
        <is>
          <t>2025-07-28 11:52:07.138 IST</t>
        </is>
      </c>
      <c r="M3385" t="inlineStr">
        <is>
          <t>Soundariya B</t>
        </is>
      </c>
      <c r="N3385" t="inlineStr">
        <is>
          <t>Yes</t>
        </is>
      </c>
      <c r="O3385" t="inlineStr">
        <is>
          <t>Yes</t>
        </is>
      </c>
      <c r="P3385" t="inlineStr">
        <is>
          <t>Soundariya B</t>
        </is>
      </c>
      <c r="Q3385" t="inlineStr">
        <is>
          <t>Neutral</t>
        </is>
      </c>
    </row>
    <row r="3386">
      <c r="A3386" t="inlineStr">
        <is>
          <t>sayan.mondal</t>
        </is>
      </c>
      <c r="B3386" t="inlineStr">
        <is>
          <t>Sayan Mondal</t>
        </is>
      </c>
      <c r="C3386" t="inlineStr">
        <is>
          <t>sayan.m@osmosys.co</t>
        </is>
      </c>
      <c r="D3386" t="inlineStr">
        <is>
          <t>incident-reporter</t>
        </is>
      </c>
      <c r="E3386">
        <f>HYPERLINK("http://gitlab.osmosys.co/incident-reporter/incident-reporter-app", "OQSHA Mobile App")</f>
        <v/>
      </c>
      <c r="F3386">
        <f>HYPERLINK("http://gitlab.osmosys.co/incident-reporter/incident-reporter-app/-/merge_requests/1837", "feat: add associated shifts to ptw")</f>
        <v/>
      </c>
      <c r="G3386" t="inlineStr">
        <is>
          <t>feat/ptw-shift</t>
        </is>
      </c>
      <c r="H3386" t="inlineStr">
        <is>
          <t>sprint-18</t>
        </is>
      </c>
      <c r="I3386" t="inlineStr">
        <is>
          <t>merged</t>
        </is>
      </c>
      <c r="J3386" t="inlineStr">
        <is>
          <t>34221e780cbe726aa33615fa006811d7ff845b4f</t>
        </is>
      </c>
      <c r="K3386">
        <f>HYPERLINK("http://gitlab.osmosys.co/incident-reporter/incident-reporter-app/-/merge_requests/1837#note_242926", "@soundariya.b  This error message was asked by @RajKumar, so keeping it as it is.")</f>
        <v/>
      </c>
      <c r="L3386" t="inlineStr">
        <is>
          <t>2025-07-28 13:20:18.577 IST</t>
        </is>
      </c>
      <c r="M3386" t="inlineStr">
        <is>
          <t>Sayan Mondal</t>
        </is>
      </c>
      <c r="N3386" t="inlineStr">
        <is>
          <t>No</t>
        </is>
      </c>
      <c r="O3386" t="inlineStr">
        <is>
          <t>Yes</t>
        </is>
      </c>
      <c r="P3386" t="inlineStr">
        <is>
          <t>Soundariya B</t>
        </is>
      </c>
      <c r="Q3386" t="inlineStr">
        <is>
          <t>Neutral</t>
        </is>
      </c>
    </row>
    <row r="3387">
      <c r="A3387" t="inlineStr">
        <is>
          <t>sayan.mondal</t>
        </is>
      </c>
      <c r="B3387" t="inlineStr">
        <is>
          <t>Sayan Mondal</t>
        </is>
      </c>
      <c r="C3387" t="inlineStr">
        <is>
          <t>sayan.m@osmosys.co</t>
        </is>
      </c>
      <c r="D3387" t="inlineStr">
        <is>
          <t>incident-reporter</t>
        </is>
      </c>
      <c r="E3387">
        <f>HYPERLINK("http://gitlab.osmosys.co/incident-reporter/incident-reporter-app", "OQSHA Mobile App")</f>
        <v/>
      </c>
      <c r="F3387">
        <f>HYPERLINK("http://gitlab.osmosys.co/incident-reporter/incident-reporter-app/-/merge_requests/1835", "feat: add new dropdown for company users")</f>
        <v/>
      </c>
      <c r="G3387" t="inlineStr">
        <is>
          <t>feat/company-users</t>
        </is>
      </c>
      <c r="H3387" t="inlineStr">
        <is>
          <t>sprint-18</t>
        </is>
      </c>
      <c r="I3387" t="inlineStr">
        <is>
          <t>merged</t>
        </is>
      </c>
      <c r="J3387" t="inlineStr">
        <is>
          <t>9b451c5a885648f7a0ddb6c98740ff0232a60526</t>
        </is>
      </c>
      <c r="K3387">
        <f>HYPERLINK("http://gitlab.osmosys.co/incident-reporter/incident-reporter-app/-/merge_requests/1835#note_242992", "ALLOW_COMPANY_USERS - this is enough")</f>
        <v/>
      </c>
      <c r="L3387" t="inlineStr">
        <is>
          <t>2025-07-28 14:41:00.649 IST</t>
        </is>
      </c>
      <c r="M3387" t="inlineStr">
        <is>
          <t>Soundariya B</t>
        </is>
      </c>
      <c r="N3387" t="inlineStr">
        <is>
          <t>Yes</t>
        </is>
      </c>
      <c r="O3387" t="inlineStr">
        <is>
          <t>Yes</t>
        </is>
      </c>
      <c r="P3387" t="inlineStr">
        <is>
          <t>Soundariya B</t>
        </is>
      </c>
      <c r="Q3387" t="inlineStr">
        <is>
          <t>Neutral</t>
        </is>
      </c>
    </row>
    <row r="3388">
      <c r="A3388" t="inlineStr">
        <is>
          <t>sayan.mondal</t>
        </is>
      </c>
      <c r="B3388" t="inlineStr">
        <is>
          <t>Sayan Mondal</t>
        </is>
      </c>
      <c r="C3388" t="inlineStr">
        <is>
          <t>sayan.m@osmosys.co</t>
        </is>
      </c>
      <c r="D3388" t="inlineStr">
        <is>
          <t>incident-reporter</t>
        </is>
      </c>
      <c r="E3388">
        <f>HYPERLINK("http://gitlab.osmosys.co/incident-reporter/incident-reporter-app", "OQSHA Mobile App")</f>
        <v/>
      </c>
      <c r="F3388">
        <f>HYPERLINK("http://gitlab.osmosys.co/incident-reporter/incident-reporter-app/-/merge_requests/1835", "feat: add new dropdown for company users")</f>
        <v/>
      </c>
      <c r="G3388" t="inlineStr">
        <is>
          <t>feat/company-users</t>
        </is>
      </c>
      <c r="H3388" t="inlineStr">
        <is>
          <t>sprint-18</t>
        </is>
      </c>
      <c r="I3388" t="inlineStr">
        <is>
          <t>merged</t>
        </is>
      </c>
      <c r="J3388" t="inlineStr">
        <is>
          <t>7effdc170224ea50ed65228ed149c85c9214920d</t>
        </is>
      </c>
      <c r="K3388">
        <f>HYPERLINK("http://gitlab.osmosys.co/incident-reporter/incident-reporter-app/-/merge_requests/1835#note_242993", "It should be user instead of reminder -- Fix it everywhere")</f>
        <v/>
      </c>
      <c r="L3388" t="inlineStr">
        <is>
          <t>2025-07-28 14:41:00.728 IST</t>
        </is>
      </c>
      <c r="M3388" t="inlineStr">
        <is>
          <t>Soundariya B</t>
        </is>
      </c>
      <c r="N3388" t="inlineStr">
        <is>
          <t>Yes</t>
        </is>
      </c>
      <c r="O3388" t="inlineStr">
        <is>
          <t>Yes</t>
        </is>
      </c>
      <c r="P3388" t="inlineStr">
        <is>
          <t>Soundariya B</t>
        </is>
      </c>
      <c r="Q3388" t="inlineStr">
        <is>
          <t>Bad</t>
        </is>
      </c>
    </row>
    <row r="3389">
      <c r="A3389" t="inlineStr">
        <is>
          <t>sayan.mondal</t>
        </is>
      </c>
      <c r="B3389" t="inlineStr">
        <is>
          <t>Sayan Mondal</t>
        </is>
      </c>
      <c r="C3389" t="inlineStr">
        <is>
          <t>sayan.m@osmosys.co</t>
        </is>
      </c>
      <c r="D3389" t="inlineStr">
        <is>
          <t>incident-reporter</t>
        </is>
      </c>
      <c r="E3389">
        <f>HYPERLINK("http://gitlab.osmosys.co/incident-reporter/incident-reporter-app", "OQSHA Mobile App")</f>
        <v/>
      </c>
      <c r="F3389">
        <f>HYPERLINK("http://gitlab.osmosys.co/incident-reporter/incident-reporter-app/-/merge_requests/1835", "feat: add new dropdown for company users")</f>
        <v/>
      </c>
      <c r="G3389" t="inlineStr">
        <is>
          <t>feat/company-users</t>
        </is>
      </c>
      <c r="H3389" t="inlineStr">
        <is>
          <t>sprint-18</t>
        </is>
      </c>
      <c r="I3389" t="inlineStr">
        <is>
          <t>merged</t>
        </is>
      </c>
      <c r="J3389" t="inlineStr">
        <is>
          <t>a3d3906cff4c2545f2feb49b16c48b2172d72b26</t>
        </is>
      </c>
      <c r="K3389">
        <f>HYPERLINK("http://gitlab.osmosys.co/incident-reporter/incident-reporter-app/-/merge_requests/1835#note_242994", "Maintain the variable consistency - it should be ptwCompanyUsers -- Fix it everywhere")</f>
        <v/>
      </c>
      <c r="L3389" t="inlineStr">
        <is>
          <t>2025-07-28 14:41:00.789 IST</t>
        </is>
      </c>
      <c r="M3389" t="inlineStr">
        <is>
          <t>Soundariya B</t>
        </is>
      </c>
      <c r="N3389" t="inlineStr">
        <is>
          <t>Yes</t>
        </is>
      </c>
      <c r="O3389" t="inlineStr">
        <is>
          <t>Yes</t>
        </is>
      </c>
      <c r="P3389" t="inlineStr">
        <is>
          <t>Soundariya B</t>
        </is>
      </c>
      <c r="Q3389" t="inlineStr">
        <is>
          <t>Bad</t>
        </is>
      </c>
    </row>
    <row r="3390">
      <c r="A3390" t="inlineStr">
        <is>
          <t>sayan.mondal</t>
        </is>
      </c>
      <c r="B3390" t="inlineStr">
        <is>
          <t>Sayan Mondal</t>
        </is>
      </c>
      <c r="C3390" t="inlineStr">
        <is>
          <t>sayan.m@osmosys.co</t>
        </is>
      </c>
      <c r="D3390" t="inlineStr">
        <is>
          <t>incident-reporter</t>
        </is>
      </c>
      <c r="E3390">
        <f>HYPERLINK("http://gitlab.osmosys.co/incident-reporter/incident-reporter-app", "OQSHA Mobile App")</f>
        <v/>
      </c>
      <c r="F3390">
        <f>HYPERLINK("http://gitlab.osmosys.co/incident-reporter/incident-reporter-app/-/merge_requests/1835", "feat: add new dropdown for company users")</f>
        <v/>
      </c>
      <c r="G3390" t="inlineStr">
        <is>
          <t>feat/company-users</t>
        </is>
      </c>
      <c r="H3390" t="inlineStr">
        <is>
          <t>sprint-18</t>
        </is>
      </c>
      <c r="I3390" t="inlineStr">
        <is>
          <t>merged</t>
        </is>
      </c>
      <c r="J3390" t="inlineStr">
        <is>
          <t>ed8ca7e713be9581da8f06a84b0c162d8ea3a7a7</t>
        </is>
      </c>
      <c r="K3390">
        <f>HYPERLINK("http://gitlab.osmosys.co/incident-reporter/incident-reporter-app/-/merge_requests/1835#note_242995", "As we are calling this field as contractor user then please rename to allowContractorUser for more clear")</f>
        <v/>
      </c>
      <c r="L3390" t="inlineStr">
        <is>
          <t>2025-07-28 14:41:00.866 IST</t>
        </is>
      </c>
      <c r="M3390" t="inlineStr">
        <is>
          <t>Soundariya B</t>
        </is>
      </c>
      <c r="N3390" t="inlineStr">
        <is>
          <t>Yes</t>
        </is>
      </c>
      <c r="O3390" t="inlineStr">
        <is>
          <t>Yes</t>
        </is>
      </c>
      <c r="P3390" t="inlineStr">
        <is>
          <t>Soundariya B</t>
        </is>
      </c>
      <c r="Q3390" t="inlineStr">
        <is>
          <t>Bad</t>
        </is>
      </c>
    </row>
    <row r="3391">
      <c r="A3391" t="inlineStr">
        <is>
          <t>sayan.mondal</t>
        </is>
      </c>
      <c r="B3391" t="inlineStr">
        <is>
          <t>Sayan Mondal</t>
        </is>
      </c>
      <c r="C3391" t="inlineStr">
        <is>
          <t>sayan.m@osmosys.co</t>
        </is>
      </c>
      <c r="D3391" t="inlineStr">
        <is>
          <t>incident-reporter</t>
        </is>
      </c>
      <c r="E3391">
        <f>HYPERLINK("http://gitlab.osmosys.co/incident-reporter/incident-reporter-app", "OQSHA Mobile App")</f>
        <v/>
      </c>
      <c r="F3391">
        <f>HYPERLINK("http://gitlab.osmosys.co/incident-reporter/incident-reporter-app/-/merge_requests/1835", "feat: add new dropdown for company users")</f>
        <v/>
      </c>
      <c r="G3391" t="inlineStr">
        <is>
          <t>feat/company-users</t>
        </is>
      </c>
      <c r="H3391" t="inlineStr">
        <is>
          <t>sprint-18</t>
        </is>
      </c>
      <c r="I3391" t="inlineStr">
        <is>
          <t>merged</t>
        </is>
      </c>
      <c r="J3391" t="inlineStr">
        <is>
          <t>1bacaf8a461b6a148088f05d27ef321627f697d3</t>
        </is>
      </c>
      <c r="K3391">
        <f>HYPERLINK("http://gitlab.osmosys.co/incident-reporter/incident-reporter-app/-/merge_requests/1835#note_242996", "Same here - selectContractorUsers")</f>
        <v/>
      </c>
      <c r="L3391" t="inlineStr">
        <is>
          <t>2025-07-28 14:41:00.925 IST</t>
        </is>
      </c>
      <c r="M3391" t="inlineStr">
        <is>
          <t>Soundariya B</t>
        </is>
      </c>
      <c r="N3391" t="inlineStr">
        <is>
          <t>Yes</t>
        </is>
      </c>
      <c r="O3391" t="inlineStr">
        <is>
          <t>Yes</t>
        </is>
      </c>
      <c r="P3391" t="inlineStr">
        <is>
          <t>Soundariya B</t>
        </is>
      </c>
      <c r="Q3391" t="inlineStr">
        <is>
          <t>Bad</t>
        </is>
      </c>
    </row>
    <row r="3392">
      <c r="A3392" t="inlineStr">
        <is>
          <t>sayan.mondal</t>
        </is>
      </c>
      <c r="B3392" t="inlineStr">
        <is>
          <t>Sayan Mondal</t>
        </is>
      </c>
      <c r="C3392" t="inlineStr">
        <is>
          <t>sayan.m@osmosys.co</t>
        </is>
      </c>
      <c r="D3392" t="inlineStr">
        <is>
          <t>incident-reporter</t>
        </is>
      </c>
      <c r="E3392">
        <f>HYPERLINK("http://gitlab.osmosys.co/incident-reporter/incident-reporter-app", "OQSHA Mobile App")</f>
        <v/>
      </c>
      <c r="F3392">
        <f>HYPERLINK("http://gitlab.osmosys.co/incident-reporter/incident-reporter-app/-/merge_requests/1835", "feat: add new dropdown for company users")</f>
        <v/>
      </c>
      <c r="G3392" t="inlineStr">
        <is>
          <t>feat/company-users</t>
        </is>
      </c>
      <c r="H3392" t="inlineStr">
        <is>
          <t>sprint-18</t>
        </is>
      </c>
      <c r="I3392" t="inlineStr">
        <is>
          <t>merged</t>
        </is>
      </c>
      <c r="J3392" t="inlineStr">
        <is>
          <t>9ada81e0509dfe18930e1cd6a0b6fd2e4ae29799</t>
        </is>
      </c>
      <c r="K3392">
        <f>HYPERLINK("http://gitlab.osmosys.co/incident-reporter/incident-reporter-app/-/merge_requests/1835#note_242997", "I believe this lines of code using more than 1 place so please improve and reuse it")</f>
        <v/>
      </c>
      <c r="L3392" t="inlineStr">
        <is>
          <t>2025-07-28 14:41:00.987 IST</t>
        </is>
      </c>
      <c r="M3392" t="inlineStr">
        <is>
          <t>Soundariya B</t>
        </is>
      </c>
      <c r="N3392" t="inlineStr">
        <is>
          <t>Yes</t>
        </is>
      </c>
      <c r="O3392" t="inlineStr">
        <is>
          <t>Yes</t>
        </is>
      </c>
      <c r="P3392" t="inlineStr">
        <is>
          <t>Soundariya B</t>
        </is>
      </c>
      <c r="Q3392" t="inlineStr">
        <is>
          <t>Neutral</t>
        </is>
      </c>
    </row>
    <row r="3393">
      <c r="A3393" t="inlineStr">
        <is>
          <t>sayan.mondal</t>
        </is>
      </c>
      <c r="B3393" t="inlineStr">
        <is>
          <t>Sayan Mondal</t>
        </is>
      </c>
      <c r="C3393" t="inlineStr">
        <is>
          <t>sayan.m@osmosys.co</t>
        </is>
      </c>
      <c r="D3393" t="inlineStr">
        <is>
          <t>incident-reporter</t>
        </is>
      </c>
      <c r="E3393">
        <f>HYPERLINK("http://gitlab.osmosys.co/incident-reporter/incident-reporter-app", "OQSHA Mobile App")</f>
        <v/>
      </c>
      <c r="F3393">
        <f>HYPERLINK("http://gitlab.osmosys.co/incident-reporter/incident-reporter-app/-/merge_requests/1835", "feat: add new dropdown for company users")</f>
        <v/>
      </c>
      <c r="G3393" t="inlineStr">
        <is>
          <t>feat/company-users</t>
        </is>
      </c>
      <c r="H3393" t="inlineStr">
        <is>
          <t>sprint-18</t>
        </is>
      </c>
      <c r="I3393" t="inlineStr">
        <is>
          <t>merged</t>
        </is>
      </c>
      <c r="J3393" t="inlineStr">
        <is>
          <t>9ada81e0509dfe18930e1cd6a0b6fd2e4ae29799</t>
        </is>
      </c>
      <c r="K3393">
        <f>HYPERLINK("http://gitlab.osmosys.co/incident-reporter/incident-reporter-app/-/merge_requests/1835#note_243078", "This is consistent with all the other old code, so can keep for now. Can make improvement later on")</f>
        <v/>
      </c>
      <c r="L3393" t="inlineStr">
        <is>
          <t>2025-07-28 16:00:11.554 IST</t>
        </is>
      </c>
      <c r="M3393" t="inlineStr">
        <is>
          <t>Sayan Mondal</t>
        </is>
      </c>
      <c r="N3393" t="inlineStr">
        <is>
          <t>No</t>
        </is>
      </c>
      <c r="O3393" t="inlineStr">
        <is>
          <t>Yes</t>
        </is>
      </c>
      <c r="P3393" t="inlineStr">
        <is>
          <t>Soundariya B</t>
        </is>
      </c>
      <c r="Q3393" t="inlineStr">
        <is>
          <t>Neutral</t>
        </is>
      </c>
    </row>
    <row r="3394">
      <c r="A3394" t="inlineStr">
        <is>
          <t>sayan.mondal</t>
        </is>
      </c>
      <c r="B3394" t="inlineStr">
        <is>
          <t>Sayan Mondal</t>
        </is>
      </c>
      <c r="C3394" t="inlineStr">
        <is>
          <t>sayan.m@osmosys.co</t>
        </is>
      </c>
      <c r="D3394" t="inlineStr">
        <is>
          <t>incident-reporter</t>
        </is>
      </c>
      <c r="E3394">
        <f>HYPERLINK("http://gitlab.osmosys.co/incident-reporter/incident-reporter-app", "OQSHA Mobile App")</f>
        <v/>
      </c>
      <c r="F3394">
        <f>HYPERLINK("http://gitlab.osmosys.co/incident-reporter/incident-reporter-app/-/merge_requests/1835", "feat: add new dropdown for company users")</f>
        <v/>
      </c>
      <c r="G3394" t="inlineStr">
        <is>
          <t>feat/company-users</t>
        </is>
      </c>
      <c r="H3394" t="inlineStr">
        <is>
          <t>sprint-18</t>
        </is>
      </c>
      <c r="I3394" t="inlineStr">
        <is>
          <t>merged</t>
        </is>
      </c>
      <c r="J3394" t="inlineStr">
        <is>
          <t>8bc76a0fe654fcab93cc51ca098ea217a7698c10</t>
        </is>
      </c>
      <c r="K3394">
        <f>HYPERLINK("http://gitlab.osmosys.co/incident-reporter/incident-reporter-app/-/merge_requests/1835#note_242998", "Why here this only variable in PascalCase instead of camelCase like others?")</f>
        <v/>
      </c>
      <c r="L3394" t="inlineStr">
        <is>
          <t>2025-07-28 14:41:01.048 IST</t>
        </is>
      </c>
      <c r="M3394" t="inlineStr">
        <is>
          <t>Soundariya B</t>
        </is>
      </c>
      <c r="N3394" t="inlineStr">
        <is>
          <t>Yes</t>
        </is>
      </c>
      <c r="O3394" t="inlineStr">
        <is>
          <t>Yes</t>
        </is>
      </c>
      <c r="P3394" t="inlineStr">
        <is>
          <t>Soundariya B</t>
        </is>
      </c>
      <c r="Q3394" t="inlineStr">
        <is>
          <t>Bad</t>
        </is>
      </c>
    </row>
    <row r="3395">
      <c r="A3395" t="inlineStr">
        <is>
          <t>sayan.mondal</t>
        </is>
      </c>
      <c r="B3395" t="inlineStr">
        <is>
          <t>Sayan Mondal</t>
        </is>
      </c>
      <c r="C3395" t="inlineStr">
        <is>
          <t>sayan.m@osmosys.co</t>
        </is>
      </c>
      <c r="D3395" t="inlineStr">
        <is>
          <t>incident-reporter</t>
        </is>
      </c>
      <c r="E3395">
        <f>HYPERLINK("http://gitlab.osmosys.co/incident-reporter/incident-reporter-app", "OQSHA Mobile App")</f>
        <v/>
      </c>
      <c r="F3395">
        <f>HYPERLINK("http://gitlab.osmosys.co/incident-reporter/incident-reporter-app/-/merge_requests/1835", "feat: add new dropdown for company users")</f>
        <v/>
      </c>
      <c r="G3395" t="inlineStr">
        <is>
          <t>feat/company-users</t>
        </is>
      </c>
      <c r="H3395" t="inlineStr">
        <is>
          <t>sprint-18</t>
        </is>
      </c>
      <c r="I3395" t="inlineStr">
        <is>
          <t>merged</t>
        </is>
      </c>
      <c r="J3395" t="inlineStr">
        <is>
          <t>ffc259b476c4dfe6c79d3ccdb5b52db0a24a62e9</t>
        </is>
      </c>
      <c r="K3395">
        <f>HYPERLINK("http://gitlab.osmosys.co/incident-reporter/incident-reporter-app/-/merge_requests/1835#note_242999", "Not pattern validation for email and required validation for other contract user field as they are mandatory - is that handled?")</f>
        <v/>
      </c>
      <c r="L3395" t="inlineStr">
        <is>
          <t>2025-07-28 14:41:01.123 IST</t>
        </is>
      </c>
      <c r="M3395" t="inlineStr">
        <is>
          <t>Soundariya B</t>
        </is>
      </c>
      <c r="N3395" t="inlineStr">
        <is>
          <t>Yes</t>
        </is>
      </c>
      <c r="O3395" t="inlineStr">
        <is>
          <t>Yes</t>
        </is>
      </c>
      <c r="P3395" t="inlineStr">
        <is>
          <t>Soundariya B</t>
        </is>
      </c>
      <c r="Q3395" t="inlineStr">
        <is>
          <t>Good</t>
        </is>
      </c>
    </row>
    <row r="3396">
      <c r="A3396" t="inlineStr">
        <is>
          <t>sayan.mondal</t>
        </is>
      </c>
      <c r="B3396" t="inlineStr">
        <is>
          <t>Sayan Mondal</t>
        </is>
      </c>
      <c r="C3396" t="inlineStr">
        <is>
          <t>sayan.m@osmosys.co</t>
        </is>
      </c>
      <c r="D3396" t="inlineStr">
        <is>
          <t>incident-reporter</t>
        </is>
      </c>
      <c r="E3396">
        <f>HYPERLINK("http://gitlab.osmosys.co/incident-reporter/incident-reporter-app", "OQSHA Mobile App")</f>
        <v/>
      </c>
      <c r="F3396">
        <f>HYPERLINK("http://gitlab.osmosys.co/incident-reporter/incident-reporter-app/-/merge_requests/1835", "feat: add new dropdown for company users")</f>
        <v/>
      </c>
      <c r="G3396" t="inlineStr">
        <is>
          <t>feat/company-users</t>
        </is>
      </c>
      <c r="H3396" t="inlineStr">
        <is>
          <t>sprint-18</t>
        </is>
      </c>
      <c r="I3396" t="inlineStr">
        <is>
          <t>merged</t>
        </is>
      </c>
      <c r="J3396" t="inlineStr">
        <is>
          <t>ffc259b476c4dfe6c79d3ccdb5b52db0a24a62e9</t>
        </is>
      </c>
      <c r="K3396">
        <f>HYPERLINK("http://gitlab.osmosys.co/incident-reporter/incident-reporter-app/-/merge_requests/1835#note_243202", "Yes it is handled")</f>
        <v/>
      </c>
      <c r="L3396" t="inlineStr">
        <is>
          <t>2025-07-28 18:31:42.541 IST</t>
        </is>
      </c>
      <c r="M3396" t="inlineStr">
        <is>
          <t>Sayan Mondal</t>
        </is>
      </c>
      <c r="N3396" t="inlineStr">
        <is>
          <t>No</t>
        </is>
      </c>
      <c r="O3396" t="inlineStr">
        <is>
          <t>Yes</t>
        </is>
      </c>
      <c r="P3396" t="inlineStr">
        <is>
          <t>Soundariya B</t>
        </is>
      </c>
      <c r="Q3396" t="inlineStr">
        <is>
          <t>Good</t>
        </is>
      </c>
    </row>
    <row r="3397">
      <c r="A3397" t="inlineStr">
        <is>
          <t>sayan.mondal</t>
        </is>
      </c>
      <c r="B3397" t="inlineStr">
        <is>
          <t>Sayan Mondal</t>
        </is>
      </c>
      <c r="C3397" t="inlineStr">
        <is>
          <t>sayan.m@osmosys.co</t>
        </is>
      </c>
      <c r="D3397" t="inlineStr">
        <is>
          <t>incident-reporter</t>
        </is>
      </c>
      <c r="E3397">
        <f>HYPERLINK("http://gitlab.osmosys.co/incident-reporter/incident-reporter-app", "OQSHA Mobile App")</f>
        <v/>
      </c>
      <c r="F3397">
        <f>HYPERLINK("http://gitlab.osmosys.co/incident-reporter/incident-reporter-app/-/merge_requests/1833", "feat: add manual ptw property in add/update ptw as 0 or 1")</f>
        <v/>
      </c>
      <c r="G3397" t="inlineStr">
        <is>
          <t>feat/isManualPtw</t>
        </is>
      </c>
      <c r="H3397" t="inlineStr">
        <is>
          <t>sprint-18</t>
        </is>
      </c>
      <c r="I3397" t="inlineStr">
        <is>
          <t>merged</t>
        </is>
      </c>
      <c r="J3397" t="inlineStr"/>
      <c r="K3397" t="inlineStr"/>
      <c r="L3397" t="inlineStr"/>
      <c r="M3397" t="inlineStr"/>
      <c r="N3397" t="inlineStr"/>
      <c r="O3397" t="inlineStr"/>
      <c r="P3397" t="inlineStr"/>
      <c r="Q3397" t="inlineStr"/>
    </row>
    <row r="3398">
      <c r="A3398" t="inlineStr">
        <is>
          <t>sayan.mondal</t>
        </is>
      </c>
      <c r="B3398" t="inlineStr">
        <is>
          <t>Sayan Mondal</t>
        </is>
      </c>
      <c r="C3398" t="inlineStr">
        <is>
          <t>sayan.m@osmosys.co</t>
        </is>
      </c>
      <c r="D3398" t="inlineStr">
        <is>
          <t>incident-reporter</t>
        </is>
      </c>
      <c r="E3398">
        <f>HYPERLINK("http://gitlab.osmosys.co/incident-reporter/incident-reporter-app", "OQSHA Mobile App")</f>
        <v/>
      </c>
      <c r="F3398">
        <f>HYPERLINK("http://gitlab.osmosys.co/incident-reporter/incident-reporter-app/-/merge_requests/1823", "fix: add mandatory option for person name and company name")</f>
        <v/>
      </c>
      <c r="G3398" t="inlineStr">
        <is>
          <t>fix/reported-by-type</t>
        </is>
      </c>
      <c r="H3398" t="inlineStr">
        <is>
          <t>sprint-17</t>
        </is>
      </c>
      <c r="I3398" t="inlineStr">
        <is>
          <t>merged</t>
        </is>
      </c>
      <c r="J3398" t="inlineStr"/>
      <c r="K3398" t="inlineStr"/>
      <c r="L3398" t="inlineStr"/>
      <c r="M3398" t="inlineStr"/>
      <c r="N3398" t="inlineStr"/>
      <c r="O3398" t="inlineStr"/>
      <c r="P3398" t="inlineStr"/>
      <c r="Q3398" t="inlineStr"/>
    </row>
    <row r="3399">
      <c r="A3399" t="inlineStr">
        <is>
          <t>sayan.mondal</t>
        </is>
      </c>
      <c r="B3399" t="inlineStr">
        <is>
          <t>Sayan Mondal</t>
        </is>
      </c>
      <c r="C3399" t="inlineStr">
        <is>
          <t>sayan.m@osmosys.co</t>
        </is>
      </c>
      <c r="D3399" t="inlineStr">
        <is>
          <t>incident-reporter</t>
        </is>
      </c>
      <c r="E3399">
        <f>HYPERLINK("http://gitlab.osmosys.co/incident-reporter/incident-reporter-app", "OQSHA Mobile App")</f>
        <v/>
      </c>
      <c r="F3399">
        <f>HYPERLINK("http://gitlab.osmosys.co/incident-reporter/incident-reporter-app/-/merge_requests/1818", "fix: add logged in user id if reportedby isn't there")</f>
        <v/>
      </c>
      <c r="G3399" t="inlineStr">
        <is>
          <t>fix/reported-by</t>
        </is>
      </c>
      <c r="H3399" t="inlineStr">
        <is>
          <t>sprint-17</t>
        </is>
      </c>
      <c r="I3399" t="inlineStr">
        <is>
          <t>merged</t>
        </is>
      </c>
      <c r="J3399" t="inlineStr"/>
      <c r="K3399" t="inlineStr"/>
      <c r="L3399" t="inlineStr"/>
      <c r="M3399" t="inlineStr"/>
      <c r="N3399" t="inlineStr"/>
      <c r="O3399" t="inlineStr"/>
      <c r="P3399" t="inlineStr"/>
      <c r="Q3399" t="inlineStr"/>
    </row>
    <row r="3400">
      <c r="A3400" t="inlineStr">
        <is>
          <t>sayan.mondal</t>
        </is>
      </c>
      <c r="B3400" t="inlineStr">
        <is>
          <t>Sayan Mondal</t>
        </is>
      </c>
      <c r="C3400" t="inlineStr">
        <is>
          <t>sayan.m@osmosys.co</t>
        </is>
      </c>
      <c r="D3400" t="inlineStr">
        <is>
          <t>incident-reporter</t>
        </is>
      </c>
      <c r="E3400">
        <f>HYPERLINK("http://gitlab.osmosys.co/incident-reporter/incident-reporter-app", "OQSHA Mobile App")</f>
        <v/>
      </c>
      <c r="F3400">
        <f>HYPERLINK("http://gitlab.osmosys.co/incident-reporter/incident-reporter-app/-/merge_requests/1816", "fix: show reportedby field based on flag")</f>
        <v/>
      </c>
      <c r="G3400" t="inlineStr">
        <is>
          <t>fix/reportedby</t>
        </is>
      </c>
      <c r="H3400" t="inlineStr">
        <is>
          <t>sprint-17</t>
        </is>
      </c>
      <c r="I3400" t="inlineStr">
        <is>
          <t>merged</t>
        </is>
      </c>
      <c r="J3400" t="inlineStr"/>
      <c r="K3400" t="inlineStr"/>
      <c r="L3400" t="inlineStr"/>
      <c r="M3400" t="inlineStr"/>
      <c r="N3400" t="inlineStr"/>
      <c r="O3400" t="inlineStr"/>
      <c r="P3400" t="inlineStr"/>
      <c r="Q3400" t="inlineStr"/>
    </row>
    <row r="3401">
      <c r="A3401" t="inlineStr">
        <is>
          <t>sayan.mondal</t>
        </is>
      </c>
      <c r="B3401" t="inlineStr">
        <is>
          <t>Sayan Mondal</t>
        </is>
      </c>
      <c r="C3401" t="inlineStr">
        <is>
          <t>sayan.m@osmosys.co</t>
        </is>
      </c>
      <c r="D3401" t="inlineStr">
        <is>
          <t>incident-reporter</t>
        </is>
      </c>
      <c r="E3401">
        <f>HYPERLINK("http://gitlab.osmosys.co/incident-reporter/incident-reporter-app", "OQSHA Mobile App")</f>
        <v/>
      </c>
      <c r="F3401">
        <f>HYPERLINK("http://gitlab.osmosys.co/incident-reporter/incident-reporter-app/-/merge_requests/1814", "feat: add manual ptw checkbox based on flag")</f>
        <v/>
      </c>
      <c r="G3401" t="inlineStr">
        <is>
          <t>feat/manual-ptw-changes</t>
        </is>
      </c>
      <c r="H3401" t="inlineStr">
        <is>
          <t>sprint-18</t>
        </is>
      </c>
      <c r="I3401" t="inlineStr">
        <is>
          <t>merged</t>
        </is>
      </c>
      <c r="J3401" t="inlineStr"/>
      <c r="K3401" t="inlineStr"/>
      <c r="L3401" t="inlineStr"/>
      <c r="M3401" t="inlineStr"/>
      <c r="N3401" t="inlineStr"/>
      <c r="O3401" t="inlineStr"/>
      <c r="P3401" t="inlineStr"/>
      <c r="Q3401" t="inlineStr"/>
    </row>
    <row r="3402">
      <c r="A3402" t="inlineStr">
        <is>
          <t>sayan.mondal</t>
        </is>
      </c>
      <c r="B3402" t="inlineStr">
        <is>
          <t>Sayan Mondal</t>
        </is>
      </c>
      <c r="C3402" t="inlineStr">
        <is>
          <t>sayan.m@osmosys.co</t>
        </is>
      </c>
      <c r="D3402" t="inlineStr">
        <is>
          <t>incident-reporter</t>
        </is>
      </c>
      <c r="E3402">
        <f>HYPERLINK("http://gitlab.osmosys.co/incident-reporter/incident-reporter-app", "OQSHA Mobile App")</f>
        <v/>
      </c>
      <c r="F3402">
        <f>HYPERLINK("http://gitlab.osmosys.co/incident-reporter/incident-reporter-app/-/merge_requests/1811", "Draft: feat: add associated shift dropdown to get shift timings")</f>
        <v/>
      </c>
      <c r="G3402" t="inlineStr">
        <is>
          <t>feat/associated-shift</t>
        </is>
      </c>
      <c r="H3402" t="inlineStr">
        <is>
          <t>sprint-18</t>
        </is>
      </c>
      <c r="I3402" t="inlineStr">
        <is>
          <t>closed</t>
        </is>
      </c>
      <c r="J3402" t="inlineStr"/>
      <c r="K3402" t="inlineStr"/>
      <c r="L3402" t="inlineStr"/>
      <c r="M3402" t="inlineStr"/>
      <c r="N3402" t="inlineStr"/>
      <c r="O3402" t="inlineStr"/>
      <c r="P3402" t="inlineStr"/>
      <c r="Q3402" t="inlineStr"/>
    </row>
    <row r="3403">
      <c r="A3403" t="inlineStr">
        <is>
          <t>sayan.mondal</t>
        </is>
      </c>
      <c r="B3403" t="inlineStr">
        <is>
          <t>Sayan Mondal</t>
        </is>
      </c>
      <c r="C3403" t="inlineStr">
        <is>
          <t>sayan.m@osmosys.co</t>
        </is>
      </c>
      <c r="D3403" t="inlineStr">
        <is>
          <t>incident-reporter</t>
        </is>
      </c>
      <c r="E3403">
        <f>HYPERLINK("http://gitlab.osmosys.co/incident-reporter/incident-reporter-app", "OQSHA Mobile App")</f>
        <v/>
      </c>
      <c r="F3403">
        <f>HYPERLINK("http://gitlab.osmosys.co/incident-reporter/incident-reporter-app/-/merge_requests/1805", "fix: show video option when selected from ptw settings")</f>
        <v/>
      </c>
      <c r="G3403" t="inlineStr">
        <is>
          <t>fix/ptw-attachment</t>
        </is>
      </c>
      <c r="H3403" t="inlineStr">
        <is>
          <t>sprint-17</t>
        </is>
      </c>
      <c r="I3403" t="inlineStr">
        <is>
          <t>merged</t>
        </is>
      </c>
      <c r="J3403" t="inlineStr"/>
      <c r="K3403" t="inlineStr"/>
      <c r="L3403" t="inlineStr"/>
      <c r="M3403" t="inlineStr"/>
      <c r="N3403" t="inlineStr"/>
      <c r="O3403" t="inlineStr"/>
      <c r="P3403" t="inlineStr"/>
      <c r="Q3403" t="inlineStr"/>
    </row>
    <row r="3404">
      <c r="A3404" t="inlineStr">
        <is>
          <t>sayan.mondal</t>
        </is>
      </c>
      <c r="B3404" t="inlineStr">
        <is>
          <t>Sayan Mondal</t>
        </is>
      </c>
      <c r="C3404" t="inlineStr">
        <is>
          <t>sayan.m@osmosys.co</t>
        </is>
      </c>
      <c r="D3404" t="inlineStr">
        <is>
          <t>incident-reporter</t>
        </is>
      </c>
      <c r="E3404">
        <f>HYPERLINK("http://gitlab.osmosys.co/incident-reporter/incident-reporter-app", "OQSHA Mobile App")</f>
        <v/>
      </c>
      <c r="F3404">
        <f>HYPERLINK("http://gitlab.osmosys.co/incident-reporter/incident-reporter-app/-/merge_requests/1804", "feat: redirect to add inspection after scanning asset qr code")</f>
        <v/>
      </c>
      <c r="G3404" t="inlineStr">
        <is>
          <t>feat/inspection-qr</t>
        </is>
      </c>
      <c r="H3404" t="inlineStr">
        <is>
          <t>sprint-17</t>
        </is>
      </c>
      <c r="I3404" t="inlineStr">
        <is>
          <t>merged</t>
        </is>
      </c>
      <c r="J3404" t="inlineStr"/>
      <c r="K3404" t="inlineStr"/>
      <c r="L3404" t="inlineStr"/>
      <c r="M3404" t="inlineStr"/>
      <c r="N3404" t="inlineStr"/>
      <c r="O3404" t="inlineStr"/>
      <c r="P3404" t="inlineStr"/>
      <c r="Q3404" t="inlineStr"/>
    </row>
    <row r="3405">
      <c r="A3405" t="inlineStr">
        <is>
          <t>sayan.mondal</t>
        </is>
      </c>
      <c r="B3405" t="inlineStr">
        <is>
          <t>Sayan Mondal</t>
        </is>
      </c>
      <c r="C3405" t="inlineStr">
        <is>
          <t>sayan.m@osmosys.co</t>
        </is>
      </c>
      <c r="D3405" t="inlineStr">
        <is>
          <t>incident-reporter</t>
        </is>
      </c>
      <c r="E3405">
        <f>HYPERLINK("http://gitlab.osmosys.co/incident-reporter/incident-reporter-app", "OQSHA Mobile App")</f>
        <v/>
      </c>
      <c r="F3405">
        <f>HYPERLINK("http://gitlab.osmosys.co/incident-reporter/incident-reporter-app/-/merge_requests/1803", "fix: disable moc details if user isn't an approver")</f>
        <v/>
      </c>
      <c r="G3405" t="inlineStr">
        <is>
          <t>fix/moc-approver-bug</t>
        </is>
      </c>
      <c r="H3405" t="inlineStr">
        <is>
          <t>sprint-17</t>
        </is>
      </c>
      <c r="I3405" t="inlineStr">
        <is>
          <t>merged</t>
        </is>
      </c>
      <c r="J3405" t="inlineStr"/>
      <c r="K3405" t="inlineStr"/>
      <c r="L3405" t="inlineStr"/>
      <c r="M3405" t="inlineStr"/>
      <c r="N3405" t="inlineStr"/>
      <c r="O3405" t="inlineStr"/>
      <c r="P3405" t="inlineStr"/>
      <c r="Q3405" t="inlineStr"/>
    </row>
    <row r="3406">
      <c r="A3406" t="inlineStr">
        <is>
          <t>sayan.mondal</t>
        </is>
      </c>
      <c r="B3406" t="inlineStr">
        <is>
          <t>Sayan Mondal</t>
        </is>
      </c>
      <c r="C3406" t="inlineStr">
        <is>
          <t>sayan.m@osmosys.co</t>
        </is>
      </c>
      <c r="D3406" t="inlineStr">
        <is>
          <t>incident-reporter</t>
        </is>
      </c>
      <c r="E3406">
        <f>HYPERLINK("http://gitlab.osmosys.co/incident-reporter/incident-reporter-app", "OQSHA Mobile App")</f>
        <v/>
      </c>
      <c r="F3406">
        <f>HYPERLINK("http://gitlab.osmosys.co/incident-reporter/incident-reporter-app/-/merge_requests/1800", "fix: fix and bind values in the assign to and status dropdowns")</f>
        <v/>
      </c>
      <c r="G3406" t="inlineStr">
        <is>
          <t>fix/feed-page</t>
        </is>
      </c>
      <c r="H3406" t="inlineStr">
        <is>
          <t>sprint-17</t>
        </is>
      </c>
      <c r="I3406" t="inlineStr">
        <is>
          <t>merged</t>
        </is>
      </c>
      <c r="J3406" t="inlineStr"/>
      <c r="K3406" t="inlineStr"/>
      <c r="L3406" t="inlineStr"/>
      <c r="M3406" t="inlineStr"/>
      <c r="N3406" t="inlineStr"/>
      <c r="O3406" t="inlineStr"/>
      <c r="P3406" t="inlineStr"/>
      <c r="Q3406" t="inlineStr"/>
    </row>
    <row r="3407">
      <c r="A3407" t="inlineStr">
        <is>
          <t>sayan.mondal</t>
        </is>
      </c>
      <c r="B3407" t="inlineStr">
        <is>
          <t>Sayan Mondal</t>
        </is>
      </c>
      <c r="C3407" t="inlineStr">
        <is>
          <t>sayan.m@osmosys.co</t>
        </is>
      </c>
      <c r="D3407" t="inlineStr">
        <is>
          <t>incident-reporter</t>
        </is>
      </c>
      <c r="E3407">
        <f>HYPERLINK("http://gitlab.osmosys.co/incident-reporter/incident-reporter-app", "OQSHA Mobile App")</f>
        <v/>
      </c>
      <c r="F3407">
        <f>HYPERLINK("http://gitlab.osmosys.co/incident-reporter/incident-reporter-app/-/merge_requests/1790", "fix: fix moc approver getting deselected")</f>
        <v/>
      </c>
      <c r="G3407" t="inlineStr">
        <is>
          <t>fix/moc-approver</t>
        </is>
      </c>
      <c r="H3407" t="inlineStr">
        <is>
          <t>sprint-17</t>
        </is>
      </c>
      <c r="I3407" t="inlineStr">
        <is>
          <t>merged</t>
        </is>
      </c>
      <c r="J3407" t="inlineStr">
        <is>
          <t>bae6beaa040eb28cfa107458314c0c127b6cae9e</t>
        </is>
      </c>
      <c r="K3407">
        <f>HYPERLINK("http://gitlab.osmosys.co/incident-reporter/incident-reporter-app/-/merge_requests/1790#note_238261", "Toast error message is missing")</f>
        <v/>
      </c>
      <c r="L3407" t="inlineStr">
        <is>
          <t>2025-07-17 13:14:11.111 IST</t>
        </is>
      </c>
      <c r="M3407" t="inlineStr">
        <is>
          <t>Soundariya B</t>
        </is>
      </c>
      <c r="N3407" t="inlineStr">
        <is>
          <t>Yes</t>
        </is>
      </c>
      <c r="O3407" t="inlineStr">
        <is>
          <t>Yes</t>
        </is>
      </c>
      <c r="P3407" t="inlineStr">
        <is>
          <t>Soundariya B</t>
        </is>
      </c>
      <c r="Q3407" t="inlineStr">
        <is>
          <t>Bad</t>
        </is>
      </c>
    </row>
    <row r="3408">
      <c r="A3408" t="inlineStr">
        <is>
          <t>sayan.mondal</t>
        </is>
      </c>
      <c r="B3408" t="inlineStr">
        <is>
          <t>Sayan Mondal</t>
        </is>
      </c>
      <c r="C3408" t="inlineStr">
        <is>
          <t>sayan.m@osmosys.co</t>
        </is>
      </c>
      <c r="D3408" t="inlineStr">
        <is>
          <t>incident-reporter</t>
        </is>
      </c>
      <c r="E3408">
        <f>HYPERLINK("http://gitlab.osmosys.co/incident-reporter/incident-reporter-app", "OQSHA Mobile App")</f>
        <v/>
      </c>
      <c r="F3408">
        <f>HYPERLINK("http://gitlab.osmosys.co/incident-reporter/incident-reporter-app/-/merge_requests/1790", "fix: fix moc approver getting deselected")</f>
        <v/>
      </c>
      <c r="G3408" t="inlineStr">
        <is>
          <t>fix/moc-approver</t>
        </is>
      </c>
      <c r="H3408" t="inlineStr">
        <is>
          <t>sprint-17</t>
        </is>
      </c>
      <c r="I3408" t="inlineStr">
        <is>
          <t>merged</t>
        </is>
      </c>
      <c r="J3408" t="inlineStr">
        <is>
          <t>29d6accc88acb38b2420ab3f2b73b42818cae1bb</t>
        </is>
      </c>
      <c r="K3408">
        <f>HYPERLINK("http://gitlab.osmosys.co/incident-reporter/incident-reporter-app/-/merge_requests/1790#note_238262", "Function name should be onChangeRole")</f>
        <v/>
      </c>
      <c r="L3408" t="inlineStr">
        <is>
          <t>2025-07-17 13:14:11.192 IST</t>
        </is>
      </c>
      <c r="M3408" t="inlineStr">
        <is>
          <t>Soundariya B</t>
        </is>
      </c>
      <c r="N3408" t="inlineStr">
        <is>
          <t>Yes</t>
        </is>
      </c>
      <c r="O3408" t="inlineStr">
        <is>
          <t>Yes</t>
        </is>
      </c>
      <c r="P3408" t="inlineStr">
        <is>
          <t>Soundariya B</t>
        </is>
      </c>
      <c r="Q3408" t="inlineStr">
        <is>
          <t>Bad</t>
        </is>
      </c>
    </row>
    <row r="3409">
      <c r="A3409" t="inlineStr">
        <is>
          <t>sayan.mondal</t>
        </is>
      </c>
      <c r="B3409" t="inlineStr">
        <is>
          <t>Sayan Mondal</t>
        </is>
      </c>
      <c r="C3409" t="inlineStr">
        <is>
          <t>sayan.m@osmosys.co</t>
        </is>
      </c>
      <c r="D3409" t="inlineStr">
        <is>
          <t>incident-reporter</t>
        </is>
      </c>
      <c r="E3409">
        <f>HYPERLINK("http://gitlab.osmosys.co/incident-reporter/incident-reporter-app", "OQSHA Mobile App")</f>
        <v/>
      </c>
      <c r="F3409">
        <f>HYPERLINK("http://gitlab.osmosys.co/incident-reporter/incident-reporter-app/-/merge_requests/1790", "fix: fix moc approver getting deselected")</f>
        <v/>
      </c>
      <c r="G3409" t="inlineStr">
        <is>
          <t>fix/moc-approver</t>
        </is>
      </c>
      <c r="H3409" t="inlineStr">
        <is>
          <t>sprint-17</t>
        </is>
      </c>
      <c r="I3409" t="inlineStr">
        <is>
          <t>merged</t>
        </is>
      </c>
      <c r="J3409" t="inlineStr">
        <is>
          <t>8997b8a84036e401a9dabcf0f029f6e01e545716</t>
        </is>
      </c>
      <c r="K3409">
        <f>HYPERLINK("http://gitlab.osmosys.co/incident-reporter/incident-reporter-app/-/merge_requests/1790#note_238263", "It should be approver instead user")</f>
        <v/>
      </c>
      <c r="L3409" t="inlineStr">
        <is>
          <t>2025-07-17 13:14:11.249 IST</t>
        </is>
      </c>
      <c r="M3409" t="inlineStr">
        <is>
          <t>Soundariya B</t>
        </is>
      </c>
      <c r="N3409" t="inlineStr">
        <is>
          <t>Yes</t>
        </is>
      </c>
      <c r="O3409" t="inlineStr">
        <is>
          <t>Yes</t>
        </is>
      </c>
      <c r="P3409" t="inlineStr">
        <is>
          <t>Soundariya B</t>
        </is>
      </c>
      <c r="Q3409" t="inlineStr">
        <is>
          <t>Bad</t>
        </is>
      </c>
    </row>
    <row r="3410">
      <c r="A3410" t="inlineStr">
        <is>
          <t>sayan.mondal</t>
        </is>
      </c>
      <c r="B3410" t="inlineStr">
        <is>
          <t>Sayan Mondal</t>
        </is>
      </c>
      <c r="C3410" t="inlineStr">
        <is>
          <t>sayan.m@osmosys.co</t>
        </is>
      </c>
      <c r="D3410" t="inlineStr">
        <is>
          <t>incident-reporter</t>
        </is>
      </c>
      <c r="E3410">
        <f>HYPERLINK("http://gitlab.osmosys.co/incident-reporter/incident-reporter-app", "OQSHA Mobile App")</f>
        <v/>
      </c>
      <c r="F3410">
        <f>HYPERLINK("http://gitlab.osmosys.co/incident-reporter/incident-reporter-app/-/merge_requests/1790", "fix: fix moc approver getting deselected")</f>
        <v/>
      </c>
      <c r="G3410" t="inlineStr">
        <is>
          <t>fix/moc-approver</t>
        </is>
      </c>
      <c r="H3410" t="inlineStr">
        <is>
          <t>sprint-17</t>
        </is>
      </c>
      <c r="I3410" t="inlineStr">
        <is>
          <t>merged</t>
        </is>
      </c>
      <c r="J3410" t="inlineStr">
        <is>
          <t>2c2f9f1a056c6a35801a19c9b3795db689860ee3</t>
        </is>
      </c>
      <c r="K3410">
        <f>HYPERLINK("http://gitlab.osmosys.co/incident-reporter/incident-reporter-app/-/merge_requests/1790#note_238264", "If using new variable then please remove this now there is no use of this variable")</f>
        <v/>
      </c>
      <c r="L3410" t="inlineStr">
        <is>
          <t>2025-07-17 13:14:11.303 IST</t>
        </is>
      </c>
      <c r="M3410" t="inlineStr">
        <is>
          <t>Soundariya B</t>
        </is>
      </c>
      <c r="N3410" t="inlineStr">
        <is>
          <t>Yes</t>
        </is>
      </c>
      <c r="O3410" t="inlineStr">
        <is>
          <t>Yes</t>
        </is>
      </c>
      <c r="P3410" t="inlineStr">
        <is>
          <t>Soundariya B</t>
        </is>
      </c>
      <c r="Q3410" t="inlineStr">
        <is>
          <t>Bad</t>
        </is>
      </c>
    </row>
    <row r="3411">
      <c r="A3411" t="inlineStr">
        <is>
          <t>sayan.mondal</t>
        </is>
      </c>
      <c r="B3411" t="inlineStr">
        <is>
          <t>Sayan Mondal</t>
        </is>
      </c>
      <c r="C3411" t="inlineStr">
        <is>
          <t>sayan.m@osmosys.co</t>
        </is>
      </c>
      <c r="D3411" t="inlineStr">
        <is>
          <t>incident-reporter</t>
        </is>
      </c>
      <c r="E3411">
        <f>HYPERLINK("http://gitlab.osmosys.co/incident-reporter/incident-reporter-app", "OQSHA Mobile App")</f>
        <v/>
      </c>
      <c r="F3411">
        <f>HYPERLINK("http://gitlab.osmosys.co/incident-reporter/incident-reporter-app/-/merge_requests/1790", "fix: fix moc approver getting deselected")</f>
        <v/>
      </c>
      <c r="G3411" t="inlineStr">
        <is>
          <t>fix/moc-approver</t>
        </is>
      </c>
      <c r="H3411" t="inlineStr">
        <is>
          <t>sprint-17</t>
        </is>
      </c>
      <c r="I3411" t="inlineStr">
        <is>
          <t>merged</t>
        </is>
      </c>
      <c r="J3411" t="inlineStr">
        <is>
          <t>9523b198c94aeb6c84b5891e87c338a7482bee19</t>
        </is>
      </c>
      <c r="K3411">
        <f>HYPERLINK("http://gitlab.osmosys.co/incident-reporter/incident-reporter-app/-/merge_requests/1790#note_238265", "For this function you should use try catch to do error handling properly like you did in edit-moc ts page for this same function")</f>
        <v/>
      </c>
      <c r="L3411" t="inlineStr">
        <is>
          <t>2025-07-17 13:14:11.379 IST</t>
        </is>
      </c>
      <c r="M3411" t="inlineStr">
        <is>
          <t>Soundariya B</t>
        </is>
      </c>
      <c r="N3411" t="inlineStr">
        <is>
          <t>Yes</t>
        </is>
      </c>
      <c r="O3411" t="inlineStr">
        <is>
          <t>Yes</t>
        </is>
      </c>
      <c r="P3411" t="inlineStr">
        <is>
          <t>Soundariya B</t>
        </is>
      </c>
      <c r="Q3411" t="inlineStr">
        <is>
          <t>Bad</t>
        </is>
      </c>
    </row>
    <row r="3412">
      <c r="A3412" t="inlineStr">
        <is>
          <t>sayan.mondal</t>
        </is>
      </c>
      <c r="B3412" t="inlineStr">
        <is>
          <t>Sayan Mondal</t>
        </is>
      </c>
      <c r="C3412" t="inlineStr">
        <is>
          <t>sayan.m@osmosys.co</t>
        </is>
      </c>
      <c r="D3412" t="inlineStr">
        <is>
          <t>incident-reporter</t>
        </is>
      </c>
      <c r="E3412">
        <f>HYPERLINK("http://gitlab.osmosys.co/incident-reporter/incident-reporter-app", "OQSHA Mobile App")</f>
        <v/>
      </c>
      <c r="F3412">
        <f>HYPERLINK("http://gitlab.osmosys.co/incident-reporter/incident-reporter-app/-/merge_requests/1790", "fix: fix moc approver getting deselected")</f>
        <v/>
      </c>
      <c r="G3412" t="inlineStr">
        <is>
          <t>fix/moc-approver</t>
        </is>
      </c>
      <c r="H3412" t="inlineStr">
        <is>
          <t>sprint-17</t>
        </is>
      </c>
      <c r="I3412" t="inlineStr">
        <is>
          <t>merged</t>
        </is>
      </c>
      <c r="J3412" t="inlineStr">
        <is>
          <t>679b54337b8264a8dfdaccbba6dd9088fbeaf0e4</t>
        </is>
      </c>
      <c r="K3412">
        <f>HYPERLINK("http://gitlab.osmosys.co/incident-reporter/incident-reporter-app/-/merge_requests/1790#note_238266", "If using new variable then please remove this now there is no use of this variable")</f>
        <v/>
      </c>
      <c r="L3412" t="inlineStr">
        <is>
          <t>2025-07-17 13:14:11.448 IST</t>
        </is>
      </c>
      <c r="M3412" t="inlineStr">
        <is>
          <t>Soundariya B</t>
        </is>
      </c>
      <c r="N3412" t="inlineStr">
        <is>
          <t>Yes</t>
        </is>
      </c>
      <c r="O3412" t="inlineStr">
        <is>
          <t>Yes</t>
        </is>
      </c>
      <c r="P3412" t="inlineStr">
        <is>
          <t>Soundariya B</t>
        </is>
      </c>
      <c r="Q3412" t="inlineStr">
        <is>
          <t>Bad</t>
        </is>
      </c>
    </row>
    <row r="3413">
      <c r="A3413" t="inlineStr">
        <is>
          <t>sayan.mondal</t>
        </is>
      </c>
      <c r="B3413" t="inlineStr">
        <is>
          <t>Sayan Mondal</t>
        </is>
      </c>
      <c r="C3413" t="inlineStr">
        <is>
          <t>sayan.m@osmosys.co</t>
        </is>
      </c>
      <c r="D3413" t="inlineStr">
        <is>
          <t>incident-reporter</t>
        </is>
      </c>
      <c r="E3413">
        <f>HYPERLINK("http://gitlab.osmosys.co/incident-reporter/incident-reporter-app", "OQSHA Mobile App")</f>
        <v/>
      </c>
      <c r="F3413">
        <f>HYPERLINK("http://gitlab.osmosys.co/incident-reporter/incident-reporter-app/-/merge_requests/1790", "fix: fix moc approver getting deselected")</f>
        <v/>
      </c>
      <c r="G3413" t="inlineStr">
        <is>
          <t>fix/moc-approver</t>
        </is>
      </c>
      <c r="H3413" t="inlineStr">
        <is>
          <t>sprint-17</t>
        </is>
      </c>
      <c r="I3413" t="inlineStr">
        <is>
          <t>merged</t>
        </is>
      </c>
      <c r="J3413" t="inlineStr">
        <is>
          <t>a6f22213d5a0c7b7a43836c58cae2cf1a000b866</t>
        </is>
      </c>
      <c r="K3413">
        <f>HYPERLINK("http://gitlab.osmosys.co/incident-reporter/incident-reporter-app/-/merge_requests/1790#note_238267", "Declare data type")</f>
        <v/>
      </c>
      <c r="L3413" t="inlineStr">
        <is>
          <t>2025-07-17 13:14:11.508 IST</t>
        </is>
      </c>
      <c r="M3413" t="inlineStr">
        <is>
          <t>Soundariya B</t>
        </is>
      </c>
      <c r="N3413" t="inlineStr">
        <is>
          <t>Yes</t>
        </is>
      </c>
      <c r="O3413" t="inlineStr">
        <is>
          <t>Yes</t>
        </is>
      </c>
      <c r="P3413" t="inlineStr">
        <is>
          <t>Soundariya B</t>
        </is>
      </c>
      <c r="Q3413" t="inlineStr">
        <is>
          <t>Bad</t>
        </is>
      </c>
    </row>
    <row r="3414">
      <c r="A3414" t="inlineStr">
        <is>
          <t>sayan.mondal</t>
        </is>
      </c>
      <c r="B3414" t="inlineStr">
        <is>
          <t>Sayan Mondal</t>
        </is>
      </c>
      <c r="C3414" t="inlineStr">
        <is>
          <t>sayan.m@osmosys.co</t>
        </is>
      </c>
      <c r="D3414" t="inlineStr">
        <is>
          <t>incident-reporter</t>
        </is>
      </c>
      <c r="E3414">
        <f>HYPERLINK("http://gitlab.osmosys.co/incident-reporter/incident-reporter-app", "OQSHA Mobile App")</f>
        <v/>
      </c>
      <c r="F3414">
        <f>HYPERLINK("http://gitlab.osmosys.co/incident-reporter/incident-reporter-app/-/merge_requests/1790", "fix: fix moc approver getting deselected")</f>
        <v/>
      </c>
      <c r="G3414" t="inlineStr">
        <is>
          <t>fix/moc-approver</t>
        </is>
      </c>
      <c r="H3414" t="inlineStr">
        <is>
          <t>sprint-17</t>
        </is>
      </c>
      <c r="I3414" t="inlineStr">
        <is>
          <t>merged</t>
        </is>
      </c>
      <c r="J3414" t="inlineStr">
        <is>
          <t>481efff9a0239847d84109303a1a0e3896cc7e3f</t>
        </is>
      </c>
      <c r="K3414">
        <f>HYPERLINK("http://gitlab.osmosys.co/incident-reporter/incident-reporter-app/-/merge_requests/1790#note_238268", "It should be approver instead of user")</f>
        <v/>
      </c>
      <c r="L3414" t="inlineStr">
        <is>
          <t>2025-07-17 13:14:11.594 IST</t>
        </is>
      </c>
      <c r="M3414" t="inlineStr">
        <is>
          <t>Soundariya B</t>
        </is>
      </c>
      <c r="N3414" t="inlineStr">
        <is>
          <t>Yes</t>
        </is>
      </c>
      <c r="O3414" t="inlineStr">
        <is>
          <t>Yes</t>
        </is>
      </c>
      <c r="P3414" t="inlineStr">
        <is>
          <t>Soundariya B</t>
        </is>
      </c>
      <c r="Q3414" t="inlineStr">
        <is>
          <t>Bad</t>
        </is>
      </c>
    </row>
    <row r="3415">
      <c r="A3415" t="inlineStr">
        <is>
          <t>sayan.mondal</t>
        </is>
      </c>
      <c r="B3415" t="inlineStr">
        <is>
          <t>Sayan Mondal</t>
        </is>
      </c>
      <c r="C3415" t="inlineStr">
        <is>
          <t>sayan.m@osmosys.co</t>
        </is>
      </c>
      <c r="D3415" t="inlineStr">
        <is>
          <t>incident-reporter</t>
        </is>
      </c>
      <c r="E3415">
        <f>HYPERLINK("http://gitlab.osmosys.co/incident-reporter/incident-reporter-app", "OQSHA Mobile App")</f>
        <v/>
      </c>
      <c r="F3415">
        <f>HYPERLINK("http://gitlab.osmosys.co/incident-reporter/incident-reporter-app/-/merge_requests/1790", "fix: fix moc approver getting deselected")</f>
        <v/>
      </c>
      <c r="G3415" t="inlineStr">
        <is>
          <t>fix/moc-approver</t>
        </is>
      </c>
      <c r="H3415" t="inlineStr">
        <is>
          <t>sprint-17</t>
        </is>
      </c>
      <c r="I3415" t="inlineStr">
        <is>
          <t>merged</t>
        </is>
      </c>
      <c r="J3415" t="inlineStr">
        <is>
          <t>54fd375daa832915e8ce7e26bdc901d4c1248455</t>
        </is>
      </c>
      <c r="K3415">
        <f>HYPERLINK("http://gitlab.osmosys.co/incident-reporter/incident-reporter-app/-/merge_requests/1790#note_238269", "It should be approverListsByIndex")</f>
        <v/>
      </c>
      <c r="L3415" t="inlineStr">
        <is>
          <t>2025-07-17 13:14:11.646 IST</t>
        </is>
      </c>
      <c r="M3415" t="inlineStr">
        <is>
          <t>Soundariya B</t>
        </is>
      </c>
      <c r="N3415" t="inlineStr">
        <is>
          <t>Yes</t>
        </is>
      </c>
      <c r="O3415" t="inlineStr">
        <is>
          <t>Yes</t>
        </is>
      </c>
      <c r="P3415" t="inlineStr">
        <is>
          <t>Soundariya B</t>
        </is>
      </c>
      <c r="Q3415" t="inlineStr">
        <is>
          <t>Bad</t>
        </is>
      </c>
    </row>
    <row r="3416">
      <c r="A3416" t="inlineStr">
        <is>
          <t>sayan.mondal</t>
        </is>
      </c>
      <c r="B3416" t="inlineStr">
        <is>
          <t>Sayan Mondal</t>
        </is>
      </c>
      <c r="C3416" t="inlineStr">
        <is>
          <t>sayan.m@osmosys.co</t>
        </is>
      </c>
      <c r="D3416" t="inlineStr">
        <is>
          <t>incident-reporter</t>
        </is>
      </c>
      <c r="E3416">
        <f>HYPERLINK("http://gitlab.osmosys.co/incident-reporter/incident-reporter-app", "OQSHA Mobile App")</f>
        <v/>
      </c>
      <c r="F3416">
        <f>HYPERLINK("http://gitlab.osmosys.co/incident-reporter/incident-reporter-app/-/merge_requests/1790", "fix: fix moc approver getting deselected")</f>
        <v/>
      </c>
      <c r="G3416" t="inlineStr">
        <is>
          <t>fix/moc-approver</t>
        </is>
      </c>
      <c r="H3416" t="inlineStr">
        <is>
          <t>sprint-17</t>
        </is>
      </c>
      <c r="I3416" t="inlineStr">
        <is>
          <t>merged</t>
        </is>
      </c>
      <c r="J3416" t="inlineStr">
        <is>
          <t>edb02b47959e1a2d511be69e5645585e864f3ac0</t>
        </is>
      </c>
      <c r="K3416">
        <f>HYPERLINK("http://gitlab.osmosys.co/incident-reporter/incident-reporter-app/-/merge_requests/1790#note_238270", "Function name should be onChangeRole")</f>
        <v/>
      </c>
      <c r="L3416" t="inlineStr">
        <is>
          <t>2025-07-17 13:14:11.700 IST</t>
        </is>
      </c>
      <c r="M3416" t="inlineStr">
        <is>
          <t>Soundariya B</t>
        </is>
      </c>
      <c r="N3416" t="inlineStr">
        <is>
          <t>Yes</t>
        </is>
      </c>
      <c r="O3416" t="inlineStr">
        <is>
          <t>Yes</t>
        </is>
      </c>
      <c r="P3416" t="inlineStr">
        <is>
          <t>Soundariya B</t>
        </is>
      </c>
      <c r="Q3416" t="inlineStr">
        <is>
          <t>Bad</t>
        </is>
      </c>
    </row>
    <row r="3417">
      <c r="A3417" t="inlineStr">
        <is>
          <t>sayan.mondal</t>
        </is>
      </c>
      <c r="B3417" t="inlineStr">
        <is>
          <t>Sayan Mondal</t>
        </is>
      </c>
      <c r="C3417" t="inlineStr">
        <is>
          <t>sayan.m@osmosys.co</t>
        </is>
      </c>
      <c r="D3417" t="inlineStr">
        <is>
          <t>incident-reporter</t>
        </is>
      </c>
      <c r="E3417">
        <f>HYPERLINK("http://gitlab.osmosys.co/incident-reporter/incident-reporter-app", "OQSHA Mobile App")</f>
        <v/>
      </c>
      <c r="F3417">
        <f>HYPERLINK("http://gitlab.osmosys.co/incident-reporter/incident-reporter-app/-/merge_requests/1790", "fix: fix moc approver getting deselected")</f>
        <v/>
      </c>
      <c r="G3417" t="inlineStr">
        <is>
          <t>fix/moc-approver</t>
        </is>
      </c>
      <c r="H3417" t="inlineStr">
        <is>
          <t>sprint-17</t>
        </is>
      </c>
      <c r="I3417" t="inlineStr">
        <is>
          <t>merged</t>
        </is>
      </c>
      <c r="J3417" t="inlineStr">
        <is>
          <t>7ba95dd179478aa46733545ba3424b178a2ff660</t>
        </is>
      </c>
      <c r="K3417">
        <f>HYPERLINK("http://gitlab.osmosys.co/incident-reporter/incident-reporter-app/-/merge_requests/1790#note_238272", "Can you please add recording to verify the changes?")</f>
        <v/>
      </c>
      <c r="L3417" t="inlineStr">
        <is>
          <t>2025-07-17 13:15:01.437 IST</t>
        </is>
      </c>
      <c r="M3417" t="inlineStr">
        <is>
          <t>Soundariya B</t>
        </is>
      </c>
      <c r="N3417" t="inlineStr">
        <is>
          <t>Yes</t>
        </is>
      </c>
      <c r="O3417" t="inlineStr">
        <is>
          <t>Yes</t>
        </is>
      </c>
      <c r="P3417" t="inlineStr">
        <is>
          <t>Soundariya B</t>
        </is>
      </c>
      <c r="Q3417" t="inlineStr">
        <is>
          <t>Bad</t>
        </is>
      </c>
    </row>
    <row r="3418">
      <c r="A3418" t="inlineStr">
        <is>
          <t>sayan.mondal</t>
        </is>
      </c>
      <c r="B3418" t="inlineStr">
        <is>
          <t>Sayan Mondal</t>
        </is>
      </c>
      <c r="C3418" t="inlineStr">
        <is>
          <t>sayan.m@osmosys.co</t>
        </is>
      </c>
      <c r="D3418" t="inlineStr">
        <is>
          <t>incident-reporter</t>
        </is>
      </c>
      <c r="E3418">
        <f>HYPERLINK("http://gitlab.osmosys.co/incident-reporter/incident-reporter-app", "OQSHA Mobile App")</f>
        <v/>
      </c>
      <c r="F3418">
        <f>HYPERLINK("http://gitlab.osmosys.co/incident-reporter/incident-reporter-app/-/merge_requests/1787", "feat: add deeplink for hira, task and batch module")</f>
        <v/>
      </c>
      <c r="G3418" t="inlineStr">
        <is>
          <t>feat/task-hira-batch-deeplink</t>
        </is>
      </c>
      <c r="H3418" t="inlineStr">
        <is>
          <t>sprint-17</t>
        </is>
      </c>
      <c r="I3418" t="inlineStr">
        <is>
          <t>merged</t>
        </is>
      </c>
      <c r="J3418" t="inlineStr">
        <is>
          <t>cf3c87b2c96a06e03dc028d6dd1bf15e7f8f4bb3</t>
        </is>
      </c>
      <c r="K3418">
        <f>HYPERLINK("http://gitlab.osmosys.co/incident-reporter/incident-reporter-app/-/merge_requests/1787#note_237895", "After redirecting to edit batch page on app the mandatory fields (Site, course) are not auto populating please fix this issue
![image.png](/uploads/cb1a753acb533e696a95319ac68b048e/image.png)")</f>
        <v/>
      </c>
      <c r="L3418" t="inlineStr">
        <is>
          <t>2025-07-16 20:00:01.544 IST</t>
        </is>
      </c>
      <c r="M3418" t="inlineStr">
        <is>
          <t>Soundariya B</t>
        </is>
      </c>
      <c r="N3418" t="inlineStr">
        <is>
          <t>Yes</t>
        </is>
      </c>
      <c r="O3418" t="inlineStr">
        <is>
          <t>Yes</t>
        </is>
      </c>
      <c r="P3418" t="inlineStr">
        <is>
          <t>Soundariya B</t>
        </is>
      </c>
      <c r="Q3418" t="inlineStr">
        <is>
          <t>Bad</t>
        </is>
      </c>
    </row>
    <row r="3419">
      <c r="A3419" t="inlineStr">
        <is>
          <t>sayan.mondal</t>
        </is>
      </c>
      <c r="B3419" t="inlineStr">
        <is>
          <t>Sayan Mondal</t>
        </is>
      </c>
      <c r="C3419" t="inlineStr">
        <is>
          <t>sayan.m@osmosys.co</t>
        </is>
      </c>
      <c r="D3419" t="inlineStr">
        <is>
          <t>incident-reporter</t>
        </is>
      </c>
      <c r="E3419">
        <f>HYPERLINK("http://gitlab.osmosys.co/incident-reporter/incident-reporter-app", "OQSHA Mobile App")</f>
        <v/>
      </c>
      <c r="F3419">
        <f>HYPERLINK("http://gitlab.osmosys.co/incident-reporter/incident-reporter-app/-/merge_requests/1787", "feat: add deeplink for hira, task and batch module")</f>
        <v/>
      </c>
      <c r="G3419" t="inlineStr">
        <is>
          <t>feat/task-hira-batch-deeplink</t>
        </is>
      </c>
      <c r="H3419" t="inlineStr">
        <is>
          <t>sprint-17</t>
        </is>
      </c>
      <c r="I3419" t="inlineStr">
        <is>
          <t>merged</t>
        </is>
      </c>
      <c r="J3419" t="inlineStr">
        <is>
          <t>cf3c87b2c96a06e03dc028d6dd1bf15e7f8f4bb3</t>
        </is>
      </c>
      <c r="K3419">
        <f>HYPERLINK("http://gitlab.osmosys.co/incident-reporter/incident-reporter-app/-/merge_requests/1787#note_237954", "![MicrosoftTeams-video.mp4](/uploads/16415c6308c4566d8cf15a7572803f3d/MicrosoftTeams-video.mp4)")</f>
        <v/>
      </c>
      <c r="L3419" t="inlineStr">
        <is>
          <t>2025-07-16 22:14:21.034 IST</t>
        </is>
      </c>
      <c r="M3419" t="inlineStr">
        <is>
          <t>Sayan Mondal</t>
        </is>
      </c>
      <c r="N3419" t="inlineStr">
        <is>
          <t>No</t>
        </is>
      </c>
      <c r="O3419" t="inlineStr">
        <is>
          <t>Yes</t>
        </is>
      </c>
      <c r="P3419" t="inlineStr">
        <is>
          <t>Soundariya B</t>
        </is>
      </c>
      <c r="Q3419" t="inlineStr">
        <is>
          <t>Bad</t>
        </is>
      </c>
    </row>
    <row r="3420">
      <c r="A3420" t="inlineStr">
        <is>
          <t>sayan.mondal</t>
        </is>
      </c>
      <c r="B3420" t="inlineStr">
        <is>
          <t>Sayan Mondal</t>
        </is>
      </c>
      <c r="C3420" t="inlineStr">
        <is>
          <t>sayan.m@osmosys.co</t>
        </is>
      </c>
      <c r="D3420" t="inlineStr">
        <is>
          <t>incident-reporter</t>
        </is>
      </c>
      <c r="E3420">
        <f>HYPERLINK("http://gitlab.osmosys.co/incident-reporter/incident-reporter-app", "OQSHA Mobile App")</f>
        <v/>
      </c>
      <c r="F3420">
        <f>HYPERLINK("http://gitlab.osmosys.co/incident-reporter/incident-reporter-app/-/merge_requests/1787", "feat: add deeplink for hira, task and batch module")</f>
        <v/>
      </c>
      <c r="G3420" t="inlineStr">
        <is>
          <t>feat/task-hira-batch-deeplink</t>
        </is>
      </c>
      <c r="H3420" t="inlineStr">
        <is>
          <t>sprint-17</t>
        </is>
      </c>
      <c r="I3420" t="inlineStr">
        <is>
          <t>merged</t>
        </is>
      </c>
      <c r="J3420" t="inlineStr">
        <is>
          <t>9f08a87dc300bedf3c8d4a986c4f9f7c58c52761</t>
        </is>
      </c>
      <c r="K3420">
        <f>HYPERLINK("http://gitlab.osmosys.co/incident-reporter/incident-reporter-app/-/merge_requests/1787#note_237896", "After redirecting why Hira details page showing as blank then in second load started and redirect to hirs list page which is weird behavior
For this issue - please check the video btw 0:40 to 0:46
After the second time in video at last its redirecting perfectly so I want to you to check if there is some issue or code breaks at that time.
![image.png](/uploads/a51d2950ab09bd571a3d7c1525efd3ea/image.png)")</f>
        <v/>
      </c>
      <c r="L3420" t="inlineStr">
        <is>
          <t>2025-07-16 20:00:01.585 IST</t>
        </is>
      </c>
      <c r="M3420" t="inlineStr">
        <is>
          <t>Soundariya B</t>
        </is>
      </c>
      <c r="N3420" t="inlineStr">
        <is>
          <t>Yes</t>
        </is>
      </c>
      <c r="O3420" t="inlineStr">
        <is>
          <t>Yes</t>
        </is>
      </c>
      <c r="P3420" t="inlineStr">
        <is>
          <t>Soundariya B</t>
        </is>
      </c>
      <c r="Q3420" t="inlineStr">
        <is>
          <t>Bad</t>
        </is>
      </c>
    </row>
    <row r="3421">
      <c r="A3421" t="inlineStr">
        <is>
          <t>sayan.mondal</t>
        </is>
      </c>
      <c r="B3421" t="inlineStr">
        <is>
          <t>Sayan Mondal</t>
        </is>
      </c>
      <c r="C3421" t="inlineStr">
        <is>
          <t>sayan.m@osmosys.co</t>
        </is>
      </c>
      <c r="D3421" t="inlineStr">
        <is>
          <t>incident-reporter</t>
        </is>
      </c>
      <c r="E3421">
        <f>HYPERLINK("http://gitlab.osmosys.co/incident-reporter/incident-reporter-app", "OQSHA Mobile App")</f>
        <v/>
      </c>
      <c r="F3421">
        <f>HYPERLINK("http://gitlab.osmosys.co/incident-reporter/incident-reporter-app/-/merge_requests/1787", "feat: add deeplink for hira, task and batch module")</f>
        <v/>
      </c>
      <c r="G3421" t="inlineStr">
        <is>
          <t>feat/task-hira-batch-deeplink</t>
        </is>
      </c>
      <c r="H3421" t="inlineStr">
        <is>
          <t>sprint-17</t>
        </is>
      </c>
      <c r="I3421" t="inlineStr">
        <is>
          <t>merged</t>
        </is>
      </c>
      <c r="J3421" t="inlineStr">
        <is>
          <t>9d320a5211b7e3cf3ac966b8d91ceaf47b89eca2</t>
        </is>
      </c>
      <c r="K3421">
        <f>HYPERLINK("http://gitlab.osmosys.co/incident-reporter/incident-reporter-app/-/merge_requests/1787#note_237897", "Please use parseInt with radix for conversion for both - **par{+seInt+}**(params.orgId **||** params.organisationId, 10);")</f>
        <v/>
      </c>
      <c r="L3421" t="inlineStr">
        <is>
          <t>2025-07-16 20:00:01.660 IST</t>
        </is>
      </c>
      <c r="M3421" t="inlineStr">
        <is>
          <t>Soundariya B</t>
        </is>
      </c>
      <c r="N3421" t="inlineStr">
        <is>
          <t>Yes</t>
        </is>
      </c>
      <c r="O3421" t="inlineStr">
        <is>
          <t>Yes</t>
        </is>
      </c>
      <c r="P3421" t="inlineStr">
        <is>
          <t>Soundariya B</t>
        </is>
      </c>
      <c r="Q3421" t="inlineStr">
        <is>
          <t>Bad</t>
        </is>
      </c>
    </row>
    <row r="3422">
      <c r="A3422" t="inlineStr">
        <is>
          <t>sayan.mondal</t>
        </is>
      </c>
      <c r="B3422" t="inlineStr">
        <is>
          <t>Sayan Mondal</t>
        </is>
      </c>
      <c r="C3422" t="inlineStr">
        <is>
          <t>sayan.m@osmosys.co</t>
        </is>
      </c>
      <c r="D3422" t="inlineStr">
        <is>
          <t>incident-reporter</t>
        </is>
      </c>
      <c r="E3422">
        <f>HYPERLINK("http://gitlab.osmosys.co/incident-reporter/incident-reporter-app", "OQSHA Mobile App")</f>
        <v/>
      </c>
      <c r="F3422">
        <f>HYPERLINK("http://gitlab.osmosys.co/incident-reporter/incident-reporter-app/-/merge_requests/1781", "feat: add deeplink for moc and inspection")</f>
        <v/>
      </c>
      <c r="G3422" t="inlineStr">
        <is>
          <t>fix/moc-inspection-deeplink</t>
        </is>
      </c>
      <c r="H3422" t="inlineStr">
        <is>
          <t>sprint-17</t>
        </is>
      </c>
      <c r="I3422" t="inlineStr">
        <is>
          <t>merged</t>
        </is>
      </c>
      <c r="J3422" t="inlineStr"/>
      <c r="K3422" t="inlineStr"/>
      <c r="L3422" t="inlineStr"/>
      <c r="M3422" t="inlineStr"/>
      <c r="N3422" t="inlineStr"/>
      <c r="O3422" t="inlineStr"/>
      <c r="P3422" t="inlineStr"/>
      <c r="Q3422" t="inlineStr"/>
    </row>
    <row r="3423">
      <c r="A3423" t="inlineStr">
        <is>
          <t>sayan.mondal</t>
        </is>
      </c>
      <c r="B3423" t="inlineStr">
        <is>
          <t>Sayan Mondal</t>
        </is>
      </c>
      <c r="C3423" t="inlineStr">
        <is>
          <t>sayan.m@osmosys.co</t>
        </is>
      </c>
      <c r="D3423" t="inlineStr">
        <is>
          <t>incident-reporter</t>
        </is>
      </c>
      <c r="E3423">
        <f>HYPERLINK("http://gitlab.osmosys.co/incident-reporter/incident-reporter-app", "OQSHA Mobile App")</f>
        <v/>
      </c>
      <c r="F3423">
        <f>HYPERLINK("http://gitlab.osmosys.co/incident-reporter/incident-reporter-app/-/merge_requests/1778", "fix: update logic for ppe deeplink")</f>
        <v/>
      </c>
      <c r="G3423" t="inlineStr">
        <is>
          <t>fix/ppe-deeplink</t>
        </is>
      </c>
      <c r="H3423" t="inlineStr">
        <is>
          <t>sprint-17</t>
        </is>
      </c>
      <c r="I3423" t="inlineStr">
        <is>
          <t>merged</t>
        </is>
      </c>
      <c r="J3423" t="inlineStr"/>
      <c r="K3423" t="inlineStr"/>
      <c r="L3423" t="inlineStr"/>
      <c r="M3423" t="inlineStr"/>
      <c r="N3423" t="inlineStr"/>
      <c r="O3423" t="inlineStr"/>
      <c r="P3423" t="inlineStr"/>
      <c r="Q3423" t="inlineStr"/>
    </row>
    <row r="3424">
      <c r="A3424" t="inlineStr">
        <is>
          <t>sayan.mondal</t>
        </is>
      </c>
      <c r="B3424" t="inlineStr">
        <is>
          <t>Sayan Mondal</t>
        </is>
      </c>
      <c r="C3424" t="inlineStr">
        <is>
          <t>sayan.m@osmosys.co</t>
        </is>
      </c>
      <c r="D3424" t="inlineStr">
        <is>
          <t>incident-reporter</t>
        </is>
      </c>
      <c r="E3424">
        <f>HYPERLINK("http://gitlab.osmosys.co/incident-reporter/incident-reporter-app", "OQSHA Mobile App")</f>
        <v/>
      </c>
      <c r="F3424">
        <f>HYPERLINK("http://gitlab.osmosys.co/incident-reporter/incident-reporter-app/-/merge_requests/1775", "feat: add deeplink for ppe module")</f>
        <v/>
      </c>
      <c r="G3424" t="inlineStr">
        <is>
          <t>feat/ppe-deeplink</t>
        </is>
      </c>
      <c r="H3424" t="inlineStr">
        <is>
          <t>sprint-17</t>
        </is>
      </c>
      <c r="I3424" t="inlineStr">
        <is>
          <t>merged</t>
        </is>
      </c>
      <c r="J3424" t="inlineStr"/>
      <c r="K3424" t="inlineStr"/>
      <c r="L3424" t="inlineStr"/>
      <c r="M3424" t="inlineStr"/>
      <c r="N3424" t="inlineStr"/>
      <c r="O3424" t="inlineStr"/>
      <c r="P3424" t="inlineStr"/>
      <c r="Q3424" t="inlineStr"/>
    </row>
    <row r="3425">
      <c r="A3425" t="inlineStr">
        <is>
          <t>sayan.mondal</t>
        </is>
      </c>
      <c r="B3425" t="inlineStr">
        <is>
          <t>Sayan Mondal</t>
        </is>
      </c>
      <c r="C3425" t="inlineStr">
        <is>
          <t>sayan.m@osmosys.co</t>
        </is>
      </c>
      <c r="D3425" t="inlineStr">
        <is>
          <t>incident-reporter</t>
        </is>
      </c>
      <c r="E3425">
        <f>HYPERLINK("http://gitlab.osmosys.co/incident-reporter/incident-reporter-app", "OQSHA Mobile App")</f>
        <v/>
      </c>
      <c r="F3425">
        <f>HYPERLINK("http://gitlab.osmosys.co/incident-reporter/incident-reporter-app/-/merge_requests/1763", "feat: add reported by type add-edit ticket page")</f>
        <v/>
      </c>
      <c r="G3425" t="inlineStr">
        <is>
          <t>feat/reported-by-type</t>
        </is>
      </c>
      <c r="H3425" t="inlineStr">
        <is>
          <t>sprint-17</t>
        </is>
      </c>
      <c r="I3425" t="inlineStr">
        <is>
          <t>merged</t>
        </is>
      </c>
      <c r="J3425" t="inlineStr">
        <is>
          <t>c2570dca804c2dca04256e2d4497db9267ccb7cc</t>
        </is>
      </c>
      <c r="K3425">
        <f>HYPERLINK("http://gitlab.osmosys.co/incident-reporter/incident-reporter-app/-/merge_requests/1763#note_236475", "Check the value font style, size and color differ from other fields
![image.png](/uploads/ed78255f9fd6ba807eb10e2c700e916a/image.png)")</f>
        <v/>
      </c>
      <c r="L3425" t="inlineStr">
        <is>
          <t>2025-07-14 20:10:00.134 IST</t>
        </is>
      </c>
      <c r="M3425" t="inlineStr">
        <is>
          <t>Soundariya B</t>
        </is>
      </c>
      <c r="N3425" t="inlineStr">
        <is>
          <t>Yes</t>
        </is>
      </c>
      <c r="O3425" t="inlineStr">
        <is>
          <t>Yes</t>
        </is>
      </c>
      <c r="P3425" t="inlineStr">
        <is>
          <t>Sayan Mondal</t>
        </is>
      </c>
      <c r="Q3425" t="inlineStr">
        <is>
          <t>Neutral</t>
        </is>
      </c>
    </row>
    <row r="3426">
      <c r="A3426" t="inlineStr">
        <is>
          <t>sayan.mondal</t>
        </is>
      </c>
      <c r="B3426" t="inlineStr">
        <is>
          <t>Sayan Mondal</t>
        </is>
      </c>
      <c r="C3426" t="inlineStr">
        <is>
          <t>sayan.m@osmosys.co</t>
        </is>
      </c>
      <c r="D3426" t="inlineStr">
        <is>
          <t>incident-reporter</t>
        </is>
      </c>
      <c r="E3426">
        <f>HYPERLINK("http://gitlab.osmosys.co/incident-reporter/incident-reporter-app", "OQSHA Mobile App")</f>
        <v/>
      </c>
      <c r="F3426">
        <f>HYPERLINK("http://gitlab.osmosys.co/incident-reporter/incident-reporter-app/-/merge_requests/1763", "feat: add reported by type add-edit ticket page")</f>
        <v/>
      </c>
      <c r="G3426" t="inlineStr">
        <is>
          <t>feat/reported-by-type</t>
        </is>
      </c>
      <c r="H3426" t="inlineStr">
        <is>
          <t>sprint-17</t>
        </is>
      </c>
      <c r="I3426" t="inlineStr">
        <is>
          <t>merged</t>
        </is>
      </c>
      <c r="J3426" t="inlineStr">
        <is>
          <t>c2570dca804c2dca04256e2d4497db9267ccb7cc</t>
        </is>
      </c>
      <c r="K3426">
        <f>HYPERLINK("http://gitlab.osmosys.co/incident-reporter/incident-reporter-app/-/merge_requests/1763#note_236530", "The font size and font color with the rest of the fields which are editable. Everything is verified with the existing changes.")</f>
        <v/>
      </c>
      <c r="L3426" t="inlineStr">
        <is>
          <t>2025-07-14 21:40:31.871 IST</t>
        </is>
      </c>
      <c r="M3426" t="inlineStr">
        <is>
          <t>Sayan Mondal</t>
        </is>
      </c>
      <c r="N3426" t="inlineStr">
        <is>
          <t>No</t>
        </is>
      </c>
      <c r="O3426" t="inlineStr">
        <is>
          <t>Yes</t>
        </is>
      </c>
      <c r="P3426" t="inlineStr">
        <is>
          <t>Sayan Mondal</t>
        </is>
      </c>
      <c r="Q3426" t="inlineStr">
        <is>
          <t>Neutral</t>
        </is>
      </c>
    </row>
    <row r="3427">
      <c r="A3427" t="inlineStr">
        <is>
          <t>sayan.mondal</t>
        </is>
      </c>
      <c r="B3427" t="inlineStr">
        <is>
          <t>Sayan Mondal</t>
        </is>
      </c>
      <c r="C3427" t="inlineStr">
        <is>
          <t>sayan.m@osmosys.co</t>
        </is>
      </c>
      <c r="D3427" t="inlineStr">
        <is>
          <t>incident-reporter</t>
        </is>
      </c>
      <c r="E3427">
        <f>HYPERLINK("http://gitlab.osmosys.co/incident-reporter/incident-reporter-app", "OQSHA Mobile App")</f>
        <v/>
      </c>
      <c r="F3427">
        <f>HYPERLINK("http://gitlab.osmosys.co/incident-reporter/incident-reporter-app/-/merge_requests/1763", "feat: add reported by type add-edit ticket page")</f>
        <v/>
      </c>
      <c r="G3427" t="inlineStr">
        <is>
          <t>feat/reported-by-type</t>
        </is>
      </c>
      <c r="H3427" t="inlineStr">
        <is>
          <t>sprint-17</t>
        </is>
      </c>
      <c r="I3427" t="inlineStr">
        <is>
          <t>merged</t>
        </is>
      </c>
      <c r="J3427" t="inlineStr">
        <is>
          <t>0989c6c28a0fe7d13d4453400cb6c13f7898c7cf</t>
        </is>
      </c>
      <c r="K3427">
        <f>HYPERLINK("http://gitlab.osmosys.co/incident-reporter/incident-reporter-app/-/merge_requests/1763#note_236476", "It should be - ddl-user-type as because classname uses hypens instead of camalcase as per the standard")</f>
        <v/>
      </c>
      <c r="L3427" t="inlineStr">
        <is>
          <t>2025-07-14 20:10:00.219 IST</t>
        </is>
      </c>
      <c r="M3427" t="inlineStr">
        <is>
          <t>Soundariya B</t>
        </is>
      </c>
      <c r="N3427" t="inlineStr">
        <is>
          <t>Yes</t>
        </is>
      </c>
      <c r="O3427" t="inlineStr">
        <is>
          <t>Yes</t>
        </is>
      </c>
      <c r="P3427" t="inlineStr">
        <is>
          <t>Sayan Mondal</t>
        </is>
      </c>
      <c r="Q3427" t="inlineStr">
        <is>
          <t>Bad</t>
        </is>
      </c>
    </row>
    <row r="3428">
      <c r="A3428" t="inlineStr">
        <is>
          <t>sayan.mondal</t>
        </is>
      </c>
      <c r="B3428" t="inlineStr">
        <is>
          <t>Sayan Mondal</t>
        </is>
      </c>
      <c r="C3428" t="inlineStr">
        <is>
          <t>sayan.m@osmosys.co</t>
        </is>
      </c>
      <c r="D3428" t="inlineStr">
        <is>
          <t>incident-reporter</t>
        </is>
      </c>
      <c r="E3428">
        <f>HYPERLINK("http://gitlab.osmosys.co/incident-reporter/incident-reporter-app", "OQSHA Mobile App")</f>
        <v/>
      </c>
      <c r="F3428">
        <f>HYPERLINK("http://gitlab.osmosys.co/incident-reporter/incident-reporter-app/-/merge_requests/1763", "feat: add reported by type add-edit ticket page")</f>
        <v/>
      </c>
      <c r="G3428" t="inlineStr">
        <is>
          <t>feat/reported-by-type</t>
        </is>
      </c>
      <c r="H3428" t="inlineStr">
        <is>
          <t>sprint-17</t>
        </is>
      </c>
      <c r="I3428" t="inlineStr">
        <is>
          <t>merged</t>
        </is>
      </c>
      <c r="J3428" t="inlineStr">
        <is>
          <t>767933f986d6491ae826448940f85cd21ddeb577</t>
        </is>
      </c>
      <c r="K3428">
        <f>HYPERLINK("http://gitlab.osmosys.co/incident-reporter/incident-reporter-app/-/merge_requests/1763#note_236477", "For this in portal using isShowContractorField method so please do the same which is a good practice")</f>
        <v/>
      </c>
      <c r="L3428" t="inlineStr">
        <is>
          <t>2025-07-14 20:10:00.281 IST</t>
        </is>
      </c>
      <c r="M3428" t="inlineStr">
        <is>
          <t>Soundariya B</t>
        </is>
      </c>
      <c r="N3428" t="inlineStr">
        <is>
          <t>Yes</t>
        </is>
      </c>
      <c r="O3428" t="inlineStr">
        <is>
          <t>Yes</t>
        </is>
      </c>
      <c r="P3428" t="inlineStr">
        <is>
          <t>Sayan Mondal</t>
        </is>
      </c>
      <c r="Q3428" t="inlineStr">
        <is>
          <t>Bad</t>
        </is>
      </c>
    </row>
    <row r="3429">
      <c r="A3429" t="inlineStr">
        <is>
          <t>sayan.mondal</t>
        </is>
      </c>
      <c r="B3429" t="inlineStr">
        <is>
          <t>Sayan Mondal</t>
        </is>
      </c>
      <c r="C3429" t="inlineStr">
        <is>
          <t>sayan.m@osmosys.co</t>
        </is>
      </c>
      <c r="D3429" t="inlineStr">
        <is>
          <t>incident-reporter</t>
        </is>
      </c>
      <c r="E3429">
        <f>HYPERLINK("http://gitlab.osmosys.co/incident-reporter/incident-reporter-app", "OQSHA Mobile App")</f>
        <v/>
      </c>
      <c r="F3429">
        <f>HYPERLINK("http://gitlab.osmosys.co/incident-reporter/incident-reporter-app/-/merge_requests/1763", "feat: add reported by type add-edit ticket page")</f>
        <v/>
      </c>
      <c r="G3429" t="inlineStr">
        <is>
          <t>feat/reported-by-type</t>
        </is>
      </c>
      <c r="H3429" t="inlineStr">
        <is>
          <t>sprint-17</t>
        </is>
      </c>
      <c r="I3429" t="inlineStr">
        <is>
          <t>merged</t>
        </is>
      </c>
      <c r="J3429" t="inlineStr">
        <is>
          <t>f804b29022985f8c5d8d07e4173138107856e3c1</t>
        </is>
      </c>
      <c r="K3429">
        <f>HYPERLINK("http://gitlab.osmosys.co/incident-reporter/incident-reporter-app/-/merge_requests/1763#note_236478", "This can't be empty or remove it")</f>
        <v/>
      </c>
      <c r="L3429" t="inlineStr">
        <is>
          <t>2025-07-14 20:10:00.332 IST</t>
        </is>
      </c>
      <c r="M3429" t="inlineStr">
        <is>
          <t>Soundariya B</t>
        </is>
      </c>
      <c r="N3429" t="inlineStr">
        <is>
          <t>Yes</t>
        </is>
      </c>
      <c r="O3429" t="inlineStr">
        <is>
          <t>Yes</t>
        </is>
      </c>
      <c r="P3429" t="inlineStr">
        <is>
          <t>Sayan Mondal</t>
        </is>
      </c>
      <c r="Q3429" t="inlineStr">
        <is>
          <t>Bad</t>
        </is>
      </c>
    </row>
    <row r="3430">
      <c r="A3430" t="inlineStr">
        <is>
          <t>sayan.mondal</t>
        </is>
      </c>
      <c r="B3430" t="inlineStr">
        <is>
          <t>Sayan Mondal</t>
        </is>
      </c>
      <c r="C3430" t="inlineStr">
        <is>
          <t>sayan.m@osmosys.co</t>
        </is>
      </c>
      <c r="D3430" t="inlineStr">
        <is>
          <t>incident-reporter</t>
        </is>
      </c>
      <c r="E3430">
        <f>HYPERLINK("http://gitlab.osmosys.co/incident-reporter/incident-reporter-app", "OQSHA Mobile App")</f>
        <v/>
      </c>
      <c r="F3430">
        <f>HYPERLINK("http://gitlab.osmosys.co/incident-reporter/incident-reporter-app/-/merge_requests/1763", "feat: add reported by type add-edit ticket page")</f>
        <v/>
      </c>
      <c r="G3430" t="inlineStr">
        <is>
          <t>feat/reported-by-type</t>
        </is>
      </c>
      <c r="H3430" t="inlineStr">
        <is>
          <t>sprint-17</t>
        </is>
      </c>
      <c r="I3430" t="inlineStr">
        <is>
          <t>merged</t>
        </is>
      </c>
      <c r="J3430" t="inlineStr">
        <is>
          <t>d68896c7eacaed37cfeeece66aa744c01ac0b207</t>
        </is>
      </c>
      <c r="K3430">
        <f>HYPERLINK("http://gitlab.osmosys.co/incident-reporter/incident-reporter-app/-/merge_requests/1763#note_236479", "This can't be empty or remove it")</f>
        <v/>
      </c>
      <c r="L3430" t="inlineStr">
        <is>
          <t>2025-07-14 20:10:00.383 IST</t>
        </is>
      </c>
      <c r="M3430" t="inlineStr">
        <is>
          <t>Soundariya B</t>
        </is>
      </c>
      <c r="N3430" t="inlineStr">
        <is>
          <t>Yes</t>
        </is>
      </c>
      <c r="O3430" t="inlineStr">
        <is>
          <t>Yes</t>
        </is>
      </c>
      <c r="P3430" t="inlineStr">
        <is>
          <t>Sayan Mondal</t>
        </is>
      </c>
      <c r="Q3430" t="inlineStr">
        <is>
          <t>Bad</t>
        </is>
      </c>
    </row>
    <row r="3431">
      <c r="A3431" t="inlineStr">
        <is>
          <t>sayan.mondal</t>
        </is>
      </c>
      <c r="B3431" t="inlineStr">
        <is>
          <t>Sayan Mondal</t>
        </is>
      </c>
      <c r="C3431" t="inlineStr">
        <is>
          <t>sayan.m@osmosys.co</t>
        </is>
      </c>
      <c r="D3431" t="inlineStr">
        <is>
          <t>incident-reporter</t>
        </is>
      </c>
      <c r="E3431">
        <f>HYPERLINK("http://gitlab.osmosys.co/incident-reporter/incident-reporter-app", "OQSHA Mobile App")</f>
        <v/>
      </c>
      <c r="F3431">
        <f>HYPERLINK("http://gitlab.osmosys.co/incident-reporter/incident-reporter-app/-/merge_requests/1763", "feat: add reported by type add-edit ticket page")</f>
        <v/>
      </c>
      <c r="G3431" t="inlineStr">
        <is>
          <t>feat/reported-by-type</t>
        </is>
      </c>
      <c r="H3431" t="inlineStr">
        <is>
          <t>sprint-17</t>
        </is>
      </c>
      <c r="I3431" t="inlineStr">
        <is>
          <t>merged</t>
        </is>
      </c>
      <c r="J3431" t="inlineStr">
        <is>
          <t>f864aea99fb93198996d380b42b8e58662c97eb7</t>
        </is>
      </c>
      <c r="K3431">
        <f>HYPERLINK("http://gitlab.osmosys.co/incident-reporter/incident-reporter-app/-/merge_requests/1763#note_236480", "Boolean attribute should not have value because it have in-built bool value")</f>
        <v/>
      </c>
      <c r="L3431" t="inlineStr">
        <is>
          <t>2025-07-14 20:10:00.434 IST</t>
        </is>
      </c>
      <c r="M3431" t="inlineStr">
        <is>
          <t>Soundariya B</t>
        </is>
      </c>
      <c r="N3431" t="inlineStr">
        <is>
          <t>Yes</t>
        </is>
      </c>
      <c r="O3431" t="inlineStr">
        <is>
          <t>Yes</t>
        </is>
      </c>
      <c r="P3431" t="inlineStr">
        <is>
          <t>Sayan Mondal</t>
        </is>
      </c>
      <c r="Q3431" t="inlineStr">
        <is>
          <t>Bad</t>
        </is>
      </c>
    </row>
    <row r="3432">
      <c r="A3432" t="inlineStr">
        <is>
          <t>sayan.mondal</t>
        </is>
      </c>
      <c r="B3432" t="inlineStr">
        <is>
          <t>Sayan Mondal</t>
        </is>
      </c>
      <c r="C3432" t="inlineStr">
        <is>
          <t>sayan.m@osmosys.co</t>
        </is>
      </c>
      <c r="D3432" t="inlineStr">
        <is>
          <t>incident-reporter</t>
        </is>
      </c>
      <c r="E3432">
        <f>HYPERLINK("http://gitlab.osmosys.co/incident-reporter/incident-reporter-app", "OQSHA Mobile App")</f>
        <v/>
      </c>
      <c r="F3432">
        <f>HYPERLINK("http://gitlab.osmosys.co/incident-reporter/incident-reporter-app/-/merge_requests/1763", "feat: add reported by type add-edit ticket page")</f>
        <v/>
      </c>
      <c r="G3432" t="inlineStr">
        <is>
          <t>feat/reported-by-type</t>
        </is>
      </c>
      <c r="H3432" t="inlineStr">
        <is>
          <t>sprint-17</t>
        </is>
      </c>
      <c r="I3432" t="inlineStr">
        <is>
          <t>merged</t>
        </is>
      </c>
      <c r="J3432" t="inlineStr">
        <is>
          <t>971fcf15819ef36e10d86ebcefeeb1a53ecf67c8</t>
        </is>
      </c>
      <c r="K3432">
        <f>HYPERLINK("http://gitlab.osmosys.co/incident-reporter/incident-reporter-app/-/merge_requests/1763#note_236481", "Boolean attribute should not have value because it have in-built bool value")</f>
        <v/>
      </c>
      <c r="L3432" t="inlineStr">
        <is>
          <t>2025-07-14 20:10:00.487 IST</t>
        </is>
      </c>
      <c r="M3432" t="inlineStr">
        <is>
          <t>Soundariya B</t>
        </is>
      </c>
      <c r="N3432" t="inlineStr">
        <is>
          <t>Yes</t>
        </is>
      </c>
      <c r="O3432" t="inlineStr">
        <is>
          <t>Yes</t>
        </is>
      </c>
      <c r="P3432" t="inlineStr">
        <is>
          <t>Sayan Mondal</t>
        </is>
      </c>
      <c r="Q3432" t="inlineStr">
        <is>
          <t>Bad</t>
        </is>
      </c>
    </row>
    <row r="3433">
      <c r="A3433" t="inlineStr">
        <is>
          <t>sayan.mondal</t>
        </is>
      </c>
      <c r="B3433" t="inlineStr">
        <is>
          <t>Sayan Mondal</t>
        </is>
      </c>
      <c r="C3433" t="inlineStr">
        <is>
          <t>sayan.m@osmosys.co</t>
        </is>
      </c>
      <c r="D3433" t="inlineStr">
        <is>
          <t>incident-reporter</t>
        </is>
      </c>
      <c r="E3433">
        <f>HYPERLINK("http://gitlab.osmosys.co/incident-reporter/incident-reporter-app", "OQSHA Mobile App")</f>
        <v/>
      </c>
      <c r="F3433">
        <f>HYPERLINK("http://gitlab.osmosys.co/incident-reporter/incident-reporter-app/-/merge_requests/1763", "feat: add reported by type add-edit ticket page")</f>
        <v/>
      </c>
      <c r="G3433" t="inlineStr">
        <is>
          <t>feat/reported-by-type</t>
        </is>
      </c>
      <c r="H3433" t="inlineStr">
        <is>
          <t>sprint-17</t>
        </is>
      </c>
      <c r="I3433" t="inlineStr">
        <is>
          <t>merged</t>
        </is>
      </c>
      <c r="J3433" t="inlineStr">
        <is>
          <t>96e3a7e8473c1123dc14f873f8b8df09b2c8f434</t>
        </is>
      </c>
      <c r="K3433">
        <f>HYPERLINK("http://gitlab.osmosys.co/incident-reporter/incident-reporter-app/-/merge_requests/1763#note_236482", "Why convention as 'selected' because this is a text field so the variable name should be companyName")</f>
        <v/>
      </c>
      <c r="L3433" t="inlineStr">
        <is>
          <t>2025-07-14 20:10:00.539 IST</t>
        </is>
      </c>
      <c r="M3433" t="inlineStr">
        <is>
          <t>Soundariya B</t>
        </is>
      </c>
      <c r="N3433" t="inlineStr">
        <is>
          <t>Yes</t>
        </is>
      </c>
      <c r="O3433" t="inlineStr">
        <is>
          <t>Yes</t>
        </is>
      </c>
      <c r="P3433" t="inlineStr">
        <is>
          <t>Sayan Mondal</t>
        </is>
      </c>
      <c r="Q3433" t="inlineStr">
        <is>
          <t>Neutral</t>
        </is>
      </c>
    </row>
    <row r="3434">
      <c r="A3434" t="inlineStr">
        <is>
          <t>sayan.mondal</t>
        </is>
      </c>
      <c r="B3434" t="inlineStr">
        <is>
          <t>Sayan Mondal</t>
        </is>
      </c>
      <c r="C3434" t="inlineStr">
        <is>
          <t>sayan.m@osmosys.co</t>
        </is>
      </c>
      <c r="D3434" t="inlineStr">
        <is>
          <t>incident-reporter</t>
        </is>
      </c>
      <c r="E3434">
        <f>HYPERLINK("http://gitlab.osmosys.co/incident-reporter/incident-reporter-app", "OQSHA Mobile App")</f>
        <v/>
      </c>
      <c r="F3434">
        <f>HYPERLINK("http://gitlab.osmosys.co/incident-reporter/incident-reporter-app/-/merge_requests/1763", "feat: add reported by type add-edit ticket page")</f>
        <v/>
      </c>
      <c r="G3434" t="inlineStr">
        <is>
          <t>feat/reported-by-type</t>
        </is>
      </c>
      <c r="H3434" t="inlineStr">
        <is>
          <t>sprint-17</t>
        </is>
      </c>
      <c r="I3434" t="inlineStr">
        <is>
          <t>merged</t>
        </is>
      </c>
      <c r="J3434" t="inlineStr">
        <is>
          <t>96e3a7e8473c1123dc14f873f8b8df09b2c8f434</t>
        </is>
      </c>
      <c r="K3434">
        <f>HYPERLINK("http://gitlab.osmosys.co/incident-reporter/incident-reporter-app/-/merge_requests/1763#note_236532", "It is easy to differentiate between the ngModel and name. It can be there")</f>
        <v/>
      </c>
      <c r="L3434" t="inlineStr">
        <is>
          <t>2025-07-14 21:43:28.262 IST</t>
        </is>
      </c>
      <c r="M3434" t="inlineStr">
        <is>
          <t>Sayan Mondal</t>
        </is>
      </c>
      <c r="N3434" t="inlineStr">
        <is>
          <t>No</t>
        </is>
      </c>
      <c r="O3434" t="inlineStr">
        <is>
          <t>Yes</t>
        </is>
      </c>
      <c r="P3434" t="inlineStr">
        <is>
          <t>Sayan Mondal</t>
        </is>
      </c>
      <c r="Q3434" t="inlineStr">
        <is>
          <t>Neutral</t>
        </is>
      </c>
    </row>
    <row r="3435">
      <c r="A3435" t="inlineStr">
        <is>
          <t>sayan.mondal</t>
        </is>
      </c>
      <c r="B3435" t="inlineStr">
        <is>
          <t>Sayan Mondal</t>
        </is>
      </c>
      <c r="C3435" t="inlineStr">
        <is>
          <t>sayan.m@osmosys.co</t>
        </is>
      </c>
      <c r="D3435" t="inlineStr">
        <is>
          <t>incident-reporter</t>
        </is>
      </c>
      <c r="E3435">
        <f>HYPERLINK("http://gitlab.osmosys.co/incident-reporter/incident-reporter-app", "OQSHA Mobile App")</f>
        <v/>
      </c>
      <c r="F3435">
        <f>HYPERLINK("http://gitlab.osmosys.co/incident-reporter/incident-reporter-app/-/merge_requests/1763", "feat: add reported by type add-edit ticket page")</f>
        <v/>
      </c>
      <c r="G3435" t="inlineStr">
        <is>
          <t>feat/reported-by-type</t>
        </is>
      </c>
      <c r="H3435" t="inlineStr">
        <is>
          <t>sprint-17</t>
        </is>
      </c>
      <c r="I3435" t="inlineStr">
        <is>
          <t>merged</t>
        </is>
      </c>
      <c r="J3435" t="inlineStr">
        <is>
          <t>67cb97ebf6c3cc2989466e45e22ca714bc905b89</t>
        </is>
      </c>
      <c r="K3435">
        <f>HYPERLINK("http://gitlab.osmosys.co/incident-reporter/incident-reporter-app/-/merge_requests/1763#note_236483", "Why convention as 'selected' because this is a text field so the variable name should be contactName")</f>
        <v/>
      </c>
      <c r="L3435" t="inlineStr">
        <is>
          <t>2025-07-14 20:10:00.590 IST</t>
        </is>
      </c>
      <c r="M3435" t="inlineStr">
        <is>
          <t>Soundariya B</t>
        </is>
      </c>
      <c r="N3435" t="inlineStr">
        <is>
          <t>Yes</t>
        </is>
      </c>
      <c r="O3435" t="inlineStr">
        <is>
          <t>Yes</t>
        </is>
      </c>
      <c r="P3435" t="inlineStr">
        <is>
          <t>Sayan Mondal</t>
        </is>
      </c>
      <c r="Q3435" t="inlineStr">
        <is>
          <t>Bad</t>
        </is>
      </c>
    </row>
    <row r="3436">
      <c r="A3436" t="inlineStr">
        <is>
          <t>sayan.mondal</t>
        </is>
      </c>
      <c r="B3436" t="inlineStr">
        <is>
          <t>Sayan Mondal</t>
        </is>
      </c>
      <c r="C3436" t="inlineStr">
        <is>
          <t>sayan.m@osmosys.co</t>
        </is>
      </c>
      <c r="D3436" t="inlineStr">
        <is>
          <t>incident-reporter</t>
        </is>
      </c>
      <c r="E3436">
        <f>HYPERLINK("http://gitlab.osmosys.co/incident-reporter/incident-reporter-app", "OQSHA Mobile App")</f>
        <v/>
      </c>
      <c r="F3436">
        <f>HYPERLINK("http://gitlab.osmosys.co/incident-reporter/incident-reporter-app/-/merge_requests/1763", "feat: add reported by type add-edit ticket page")</f>
        <v/>
      </c>
      <c r="G3436" t="inlineStr">
        <is>
          <t>feat/reported-by-type</t>
        </is>
      </c>
      <c r="H3436" t="inlineStr">
        <is>
          <t>sprint-17</t>
        </is>
      </c>
      <c r="I3436" t="inlineStr">
        <is>
          <t>merged</t>
        </is>
      </c>
      <c r="J3436" t="inlineStr">
        <is>
          <t>a9986d53fe45bee2ebfd3b8b9181470612ded448</t>
        </is>
      </c>
      <c r="K3436">
        <f>HYPERLINK("http://gitlab.osmosys.co/incident-reporter/incident-reporter-app/-/merge_requests/1763#note_236484", "It should be - 'ddl-report-by-user")</f>
        <v/>
      </c>
      <c r="L3436" t="inlineStr">
        <is>
          <t>2025-07-14 20:10:00.653 IST</t>
        </is>
      </c>
      <c r="M3436" t="inlineStr">
        <is>
          <t>Soundariya B</t>
        </is>
      </c>
      <c r="N3436" t="inlineStr">
        <is>
          <t>Yes</t>
        </is>
      </c>
      <c r="O3436" t="inlineStr">
        <is>
          <t>Yes</t>
        </is>
      </c>
      <c r="P3436" t="inlineStr">
        <is>
          <t>Sayan Mondal</t>
        </is>
      </c>
      <c r="Q3436" t="inlineStr">
        <is>
          <t>Bad</t>
        </is>
      </c>
    </row>
    <row r="3437">
      <c r="A3437" t="inlineStr">
        <is>
          <t>sayan.mondal</t>
        </is>
      </c>
      <c r="B3437" t="inlineStr">
        <is>
          <t>Sayan Mondal</t>
        </is>
      </c>
      <c r="C3437" t="inlineStr">
        <is>
          <t>sayan.m@osmosys.co</t>
        </is>
      </c>
      <c r="D3437" t="inlineStr">
        <is>
          <t>incident-reporter</t>
        </is>
      </c>
      <c r="E3437">
        <f>HYPERLINK("http://gitlab.osmosys.co/incident-reporter/incident-reporter-app", "OQSHA Mobile App")</f>
        <v/>
      </c>
      <c r="F3437">
        <f>HYPERLINK("http://gitlab.osmosys.co/incident-reporter/incident-reporter-app/-/merge_requests/1763", "feat: add reported by type add-edit ticket page")</f>
        <v/>
      </c>
      <c r="G3437" t="inlineStr">
        <is>
          <t>feat/reported-by-type</t>
        </is>
      </c>
      <c r="H3437" t="inlineStr">
        <is>
          <t>sprint-17</t>
        </is>
      </c>
      <c r="I3437" t="inlineStr">
        <is>
          <t>merged</t>
        </is>
      </c>
      <c r="J3437" t="inlineStr">
        <is>
          <t>9b8636100ee3246d13890addfdbed8a56c09e529</t>
        </is>
      </c>
      <c r="K3437">
        <f>HYPERLINK("http://gitlab.osmosys.co/incident-reporter/incident-reporter-app/-/merge_requests/1763#note_236485", "What ddl-selector? give some proper classname")</f>
        <v/>
      </c>
      <c r="L3437" t="inlineStr">
        <is>
          <t>2025-07-14 20:10:00.737 IST</t>
        </is>
      </c>
      <c r="M3437" t="inlineStr">
        <is>
          <t>Soundariya B</t>
        </is>
      </c>
      <c r="N3437" t="inlineStr">
        <is>
          <t>Yes</t>
        </is>
      </c>
      <c r="O3437" t="inlineStr">
        <is>
          <t>Yes</t>
        </is>
      </c>
      <c r="P3437" t="inlineStr">
        <is>
          <t>Sayan Mondal</t>
        </is>
      </c>
      <c r="Q3437" t="inlineStr">
        <is>
          <t>Bad</t>
        </is>
      </c>
    </row>
    <row r="3438">
      <c r="A3438" t="inlineStr">
        <is>
          <t>sayan.mondal</t>
        </is>
      </c>
      <c r="B3438" t="inlineStr">
        <is>
          <t>Sayan Mondal</t>
        </is>
      </c>
      <c r="C3438" t="inlineStr">
        <is>
          <t>sayan.m@osmosys.co</t>
        </is>
      </c>
      <c r="D3438" t="inlineStr">
        <is>
          <t>incident-reporter</t>
        </is>
      </c>
      <c r="E3438">
        <f>HYPERLINK("http://gitlab.osmosys.co/incident-reporter/incident-reporter-app", "OQSHA Mobile App")</f>
        <v/>
      </c>
      <c r="F3438">
        <f>HYPERLINK("http://gitlab.osmosys.co/incident-reporter/incident-reporter-app/-/merge_requests/1763", "feat: add reported by type add-edit ticket page")</f>
        <v/>
      </c>
      <c r="G3438" t="inlineStr">
        <is>
          <t>feat/reported-by-type</t>
        </is>
      </c>
      <c r="H3438" t="inlineStr">
        <is>
          <t>sprint-17</t>
        </is>
      </c>
      <c r="I3438" t="inlineStr">
        <is>
          <t>merged</t>
        </is>
      </c>
      <c r="J3438" t="inlineStr">
        <is>
          <t>17a53ca0181aa1593192a83c7c4c5c9e738c3462</t>
        </is>
      </c>
      <c r="K3438">
        <f>HYPERLINK("http://gitlab.osmosys.co/incident-reporter/incident-reporter-app/-/merge_requests/1763#note_236486", "Same here")</f>
        <v/>
      </c>
      <c r="L3438" t="inlineStr">
        <is>
          <t>2025-07-14 20:10:00.802 IST</t>
        </is>
      </c>
      <c r="M3438" t="inlineStr">
        <is>
          <t>Soundariya B</t>
        </is>
      </c>
      <c r="N3438" t="inlineStr">
        <is>
          <t>Yes</t>
        </is>
      </c>
      <c r="O3438" t="inlineStr">
        <is>
          <t>Yes</t>
        </is>
      </c>
      <c r="P3438" t="inlineStr">
        <is>
          <t>Sayan Mondal</t>
        </is>
      </c>
      <c r="Q3438" t="inlineStr">
        <is>
          <t>Bad</t>
        </is>
      </c>
    </row>
    <row r="3439">
      <c r="A3439" t="inlineStr">
        <is>
          <t>sayan.mondal</t>
        </is>
      </c>
      <c r="B3439" t="inlineStr">
        <is>
          <t>Sayan Mondal</t>
        </is>
      </c>
      <c r="C3439" t="inlineStr">
        <is>
          <t>sayan.m@osmosys.co</t>
        </is>
      </c>
      <c r="D3439" t="inlineStr">
        <is>
          <t>incident-reporter</t>
        </is>
      </c>
      <c r="E3439">
        <f>HYPERLINK("http://gitlab.osmosys.co/incident-reporter/incident-reporter-app", "OQSHA Mobile App")</f>
        <v/>
      </c>
      <c r="F3439">
        <f>HYPERLINK("http://gitlab.osmosys.co/incident-reporter/incident-reporter-app/-/merge_requests/1763", "feat: add reported by type add-edit ticket page")</f>
        <v/>
      </c>
      <c r="G3439" t="inlineStr">
        <is>
          <t>feat/reported-by-type</t>
        </is>
      </c>
      <c r="H3439" t="inlineStr">
        <is>
          <t>sprint-17</t>
        </is>
      </c>
      <c r="I3439" t="inlineStr">
        <is>
          <t>merged</t>
        </is>
      </c>
      <c r="J3439" t="inlineStr">
        <is>
          <t>7708a7c45d179c49b5931e769146f53391925429</t>
        </is>
      </c>
      <c r="K3439">
        <f>HYPERLINK("http://gitlab.osmosys.co/incident-reporter/incident-reporter-app/-/merge_requests/1763#note_236487", "Same here")</f>
        <v/>
      </c>
      <c r="L3439" t="inlineStr">
        <is>
          <t>2025-07-14 20:10:00.856 IST</t>
        </is>
      </c>
      <c r="M3439" t="inlineStr">
        <is>
          <t>Soundariya B</t>
        </is>
      </c>
      <c r="N3439" t="inlineStr">
        <is>
          <t>Yes</t>
        </is>
      </c>
      <c r="O3439" t="inlineStr">
        <is>
          <t>Yes</t>
        </is>
      </c>
      <c r="P3439" t="inlineStr">
        <is>
          <t>Sayan Mondal</t>
        </is>
      </c>
      <c r="Q3439" t="inlineStr">
        <is>
          <t>Bad</t>
        </is>
      </c>
    </row>
    <row r="3440">
      <c r="A3440" t="inlineStr">
        <is>
          <t>sayan.mondal</t>
        </is>
      </c>
      <c r="B3440" t="inlineStr">
        <is>
          <t>Sayan Mondal</t>
        </is>
      </c>
      <c r="C3440" t="inlineStr">
        <is>
          <t>sayan.m@osmosys.co</t>
        </is>
      </c>
      <c r="D3440" t="inlineStr">
        <is>
          <t>incident-reporter</t>
        </is>
      </c>
      <c r="E3440">
        <f>HYPERLINK("http://gitlab.osmosys.co/incident-reporter/incident-reporter-app", "OQSHA Mobile App")</f>
        <v/>
      </c>
      <c r="F3440">
        <f>HYPERLINK("http://gitlab.osmosys.co/incident-reporter/incident-reporter-app/-/merge_requests/1763", "feat: add reported by type add-edit ticket page")</f>
        <v/>
      </c>
      <c r="G3440" t="inlineStr">
        <is>
          <t>feat/reported-by-type</t>
        </is>
      </c>
      <c r="H3440" t="inlineStr">
        <is>
          <t>sprint-17</t>
        </is>
      </c>
      <c r="I3440" t="inlineStr">
        <is>
          <t>merged</t>
        </is>
      </c>
      <c r="J3440" t="inlineStr">
        <is>
          <t>ee1b35b58f345140ec0e3b0d51582561fa27abc1</t>
        </is>
      </c>
      <c r="K3440">
        <f>HYPERLINK("http://gitlab.osmosys.co/incident-reporter/incident-reporter-app/-/merge_requests/1763#note_236488", "Same here")</f>
        <v/>
      </c>
      <c r="L3440" t="inlineStr">
        <is>
          <t>2025-07-14 20:10:00.910 IST</t>
        </is>
      </c>
      <c r="M3440" t="inlineStr">
        <is>
          <t>Soundariya B</t>
        </is>
      </c>
      <c r="N3440" t="inlineStr">
        <is>
          <t>Yes</t>
        </is>
      </c>
      <c r="O3440" t="inlineStr">
        <is>
          <t>Yes</t>
        </is>
      </c>
      <c r="P3440" t="inlineStr">
        <is>
          <t>Sayan Mondal</t>
        </is>
      </c>
      <c r="Q3440" t="inlineStr">
        <is>
          <t>Bad</t>
        </is>
      </c>
    </row>
    <row r="3441">
      <c r="A3441" t="inlineStr">
        <is>
          <t>sayan.mondal</t>
        </is>
      </c>
      <c r="B3441" t="inlineStr">
        <is>
          <t>Sayan Mondal</t>
        </is>
      </c>
      <c r="C3441" t="inlineStr">
        <is>
          <t>sayan.m@osmosys.co</t>
        </is>
      </c>
      <c r="D3441" t="inlineStr">
        <is>
          <t>incident-reporter</t>
        </is>
      </c>
      <c r="E3441">
        <f>HYPERLINK("http://gitlab.osmosys.co/incident-reporter/incident-reporter-app", "OQSHA Mobile App")</f>
        <v/>
      </c>
      <c r="F3441">
        <f>HYPERLINK("http://gitlab.osmosys.co/incident-reporter/incident-reporter-app/-/merge_requests/1763", "feat: add reported by type add-edit ticket page")</f>
        <v/>
      </c>
      <c r="G3441" t="inlineStr">
        <is>
          <t>feat/reported-by-type</t>
        </is>
      </c>
      <c r="H3441" t="inlineStr">
        <is>
          <t>sprint-17</t>
        </is>
      </c>
      <c r="I3441" t="inlineStr">
        <is>
          <t>merged</t>
        </is>
      </c>
      <c r="J3441" t="inlineStr">
        <is>
          <t>db51e93a6174ddb093b858f691e1233c83109674</t>
        </is>
      </c>
      <c r="K3441">
        <f>HYPERLINK("http://gitlab.osmosys.co/incident-reporter/incident-reporter-app/-/merge_requests/1763#note_236489", "Same here")</f>
        <v/>
      </c>
      <c r="L3441" t="inlineStr">
        <is>
          <t>2025-07-14 20:10:00.966 IST</t>
        </is>
      </c>
      <c r="M3441" t="inlineStr">
        <is>
          <t>Soundariya B</t>
        </is>
      </c>
      <c r="N3441" t="inlineStr">
        <is>
          <t>Yes</t>
        </is>
      </c>
      <c r="O3441" t="inlineStr">
        <is>
          <t>Yes</t>
        </is>
      </c>
      <c r="P3441" t="inlineStr">
        <is>
          <t>Sayan Mondal</t>
        </is>
      </c>
      <c r="Q3441" t="inlineStr">
        <is>
          <t>Neutral</t>
        </is>
      </c>
    </row>
    <row r="3442">
      <c r="A3442" t="inlineStr">
        <is>
          <t>sayan.mondal</t>
        </is>
      </c>
      <c r="B3442" t="inlineStr">
        <is>
          <t>Sayan Mondal</t>
        </is>
      </c>
      <c r="C3442" t="inlineStr">
        <is>
          <t>sayan.m@osmosys.co</t>
        </is>
      </c>
      <c r="D3442" t="inlineStr">
        <is>
          <t>incident-reporter</t>
        </is>
      </c>
      <c r="E3442">
        <f>HYPERLINK("http://gitlab.osmosys.co/incident-reporter/incident-reporter-app", "OQSHA Mobile App")</f>
        <v/>
      </c>
      <c r="F3442">
        <f>HYPERLINK("http://gitlab.osmosys.co/incident-reporter/incident-reporter-app/-/merge_requests/1763", "feat: add reported by type add-edit ticket page")</f>
        <v/>
      </c>
      <c r="G3442" t="inlineStr">
        <is>
          <t>feat/reported-by-type</t>
        </is>
      </c>
      <c r="H3442" t="inlineStr">
        <is>
          <t>sprint-17</t>
        </is>
      </c>
      <c r="I3442" t="inlineStr">
        <is>
          <t>merged</t>
        </is>
      </c>
      <c r="J3442" t="inlineStr">
        <is>
          <t>6a53a941053f1d721af278c46dd5b62d1b82eb15</t>
        </is>
      </c>
      <c r="K3442">
        <f>HYPERLINK("http://gitlab.osmosys.co/incident-reporter/incident-reporter-app/-/merge_requests/1763#note_236490", "It should be Select the user type")</f>
        <v/>
      </c>
      <c r="L3442" t="inlineStr">
        <is>
          <t>2025-07-14 20:10:01.058 IST</t>
        </is>
      </c>
      <c r="M3442" t="inlineStr">
        <is>
          <t>Soundariya B</t>
        </is>
      </c>
      <c r="N3442" t="inlineStr">
        <is>
          <t>Yes</t>
        </is>
      </c>
      <c r="O3442" t="inlineStr">
        <is>
          <t>Yes</t>
        </is>
      </c>
      <c r="P3442" t="inlineStr">
        <is>
          <t>Sayan Mondal</t>
        </is>
      </c>
      <c r="Q3442" t="inlineStr">
        <is>
          <t>Bad</t>
        </is>
      </c>
    </row>
    <row r="3443">
      <c r="A3443" t="inlineStr">
        <is>
          <t>sayan.mondal</t>
        </is>
      </c>
      <c r="B3443" t="inlineStr">
        <is>
          <t>Sayan Mondal</t>
        </is>
      </c>
      <c r="C3443" t="inlineStr">
        <is>
          <t>sayan.m@osmosys.co</t>
        </is>
      </c>
      <c r="D3443" t="inlineStr">
        <is>
          <t>incident-reporter</t>
        </is>
      </c>
      <c r="E3443">
        <f>HYPERLINK("http://gitlab.osmosys.co/incident-reporter/incident-reporter-app", "OQSHA Mobile App")</f>
        <v/>
      </c>
      <c r="F3443">
        <f>HYPERLINK("http://gitlab.osmosys.co/incident-reporter/incident-reporter-app/-/merge_requests/1763", "feat: add reported by type add-edit ticket page")</f>
        <v/>
      </c>
      <c r="G3443" t="inlineStr">
        <is>
          <t>feat/reported-by-type</t>
        </is>
      </c>
      <c r="H3443" t="inlineStr">
        <is>
          <t>sprint-17</t>
        </is>
      </c>
      <c r="I3443" t="inlineStr">
        <is>
          <t>merged</t>
        </is>
      </c>
      <c r="J3443" t="inlineStr">
        <is>
          <t>2671e13600868af335dd6815dd3d31d7de76f6ac</t>
        </is>
      </c>
      <c r="K3443">
        <f>HYPERLINK("http://gitlab.osmosys.co/incident-reporter/incident-reporter-app/-/merge_requests/1763#note_236491", "It should be 'On behalf of' as per task requirement")</f>
        <v/>
      </c>
      <c r="L3443" t="inlineStr">
        <is>
          <t>2025-07-14 20:10:01.109 IST</t>
        </is>
      </c>
      <c r="M3443" t="inlineStr">
        <is>
          <t>Soundariya B</t>
        </is>
      </c>
      <c r="N3443" t="inlineStr">
        <is>
          <t>Yes</t>
        </is>
      </c>
      <c r="O3443" t="inlineStr">
        <is>
          <t>Yes</t>
        </is>
      </c>
      <c r="P3443" t="inlineStr">
        <is>
          <t>Sayan Mondal</t>
        </is>
      </c>
      <c r="Q3443" t="inlineStr">
        <is>
          <t>Bad</t>
        </is>
      </c>
    </row>
    <row r="3444">
      <c r="A3444" t="inlineStr">
        <is>
          <t>sayan.mondal</t>
        </is>
      </c>
      <c r="B3444" t="inlineStr">
        <is>
          <t>Sayan Mondal</t>
        </is>
      </c>
      <c r="C3444" t="inlineStr">
        <is>
          <t>sayan.m@osmosys.co</t>
        </is>
      </c>
      <c r="D3444" t="inlineStr">
        <is>
          <t>incident-reporter</t>
        </is>
      </c>
      <c r="E3444">
        <f>HYPERLINK("http://gitlab.osmosys.co/incident-reporter/incident-reporter-app", "OQSHA Mobile App")</f>
        <v/>
      </c>
      <c r="F3444">
        <f>HYPERLINK("http://gitlab.osmosys.co/incident-reporter/incident-reporter-app/-/merge_requests/1763", "feat: add reported by type add-edit ticket page")</f>
        <v/>
      </c>
      <c r="G3444" t="inlineStr">
        <is>
          <t>feat/reported-by-type</t>
        </is>
      </c>
      <c r="H3444" t="inlineStr">
        <is>
          <t>sprint-17</t>
        </is>
      </c>
      <c r="I3444" t="inlineStr">
        <is>
          <t>merged</t>
        </is>
      </c>
      <c r="J3444" t="inlineStr">
        <is>
          <t>41e4ecab50c99ba7b24f00646bc367eb175a3a09</t>
        </is>
      </c>
      <c r="K3444">
        <f>HYPERLINK("http://gitlab.osmosys.co/incident-reporter/incident-reporter-app/-/merge_requests/1763#note_236492", "Both are same please use single key for label and it should be Select the user")</f>
        <v/>
      </c>
      <c r="L3444" t="inlineStr">
        <is>
          <t>2025-07-14 20:10:01.160 IST</t>
        </is>
      </c>
      <c r="M3444" t="inlineStr">
        <is>
          <t>Soundariya B</t>
        </is>
      </c>
      <c r="N3444" t="inlineStr">
        <is>
          <t>Yes</t>
        </is>
      </c>
      <c r="O3444" t="inlineStr">
        <is>
          <t>Yes</t>
        </is>
      </c>
      <c r="P3444" t="inlineStr">
        <is>
          <t>Sayan Mondal</t>
        </is>
      </c>
      <c r="Q3444" t="inlineStr">
        <is>
          <t>Bad</t>
        </is>
      </c>
    </row>
    <row r="3445">
      <c r="A3445" t="inlineStr">
        <is>
          <t>sayan.mondal</t>
        </is>
      </c>
      <c r="B3445" t="inlineStr">
        <is>
          <t>Sayan Mondal</t>
        </is>
      </c>
      <c r="C3445" t="inlineStr">
        <is>
          <t>sayan.m@osmosys.co</t>
        </is>
      </c>
      <c r="D3445" t="inlineStr">
        <is>
          <t>incident-reporter</t>
        </is>
      </c>
      <c r="E3445">
        <f>HYPERLINK("http://gitlab.osmosys.co/incident-reporter/incident-reporter-app", "OQSHA Mobile App")</f>
        <v/>
      </c>
      <c r="F3445">
        <f>HYPERLINK("http://gitlab.osmosys.co/incident-reporter/incident-reporter-app/-/merge_requests/1763", "feat: add reported by type add-edit ticket page")</f>
        <v/>
      </c>
      <c r="G3445" t="inlineStr">
        <is>
          <t>feat/reported-by-type</t>
        </is>
      </c>
      <c r="H3445" t="inlineStr">
        <is>
          <t>sprint-17</t>
        </is>
      </c>
      <c r="I3445" t="inlineStr">
        <is>
          <t>merged</t>
        </is>
      </c>
      <c r="J3445" t="inlineStr">
        <is>
          <t>edaad22bb68f6df1c2040f7cf1b0d16017867b60</t>
        </is>
      </c>
      <c r="K3445">
        <f>HYPERLINK("http://gitlab.osmosys.co/incident-reporter/incident-reporter-app/-/merge_requests/1763#note_236493", "It should be Enter the company name and Enter the contact name")</f>
        <v/>
      </c>
      <c r="L3445" t="inlineStr">
        <is>
          <t>2025-07-14 20:10:01.211 IST</t>
        </is>
      </c>
      <c r="M3445" t="inlineStr">
        <is>
          <t>Soundariya B</t>
        </is>
      </c>
      <c r="N3445" t="inlineStr">
        <is>
          <t>Yes</t>
        </is>
      </c>
      <c r="O3445" t="inlineStr">
        <is>
          <t>Yes</t>
        </is>
      </c>
      <c r="P3445" t="inlineStr">
        <is>
          <t>Sayan Mondal</t>
        </is>
      </c>
      <c r="Q3445" t="inlineStr">
        <is>
          <t>Bad</t>
        </is>
      </c>
    </row>
    <row r="3446">
      <c r="A3446" t="inlineStr">
        <is>
          <t>sayan.mondal</t>
        </is>
      </c>
      <c r="B3446" t="inlineStr">
        <is>
          <t>Sayan Mondal</t>
        </is>
      </c>
      <c r="C3446" t="inlineStr">
        <is>
          <t>sayan.m@osmosys.co</t>
        </is>
      </c>
      <c r="D3446" t="inlineStr">
        <is>
          <t>incident-reporter</t>
        </is>
      </c>
      <c r="E3446">
        <f>HYPERLINK("http://gitlab.osmosys.co/incident-reporter/incident-reporter-app", "OQSHA Mobile App")</f>
        <v/>
      </c>
      <c r="F3446">
        <f>HYPERLINK("http://gitlab.osmosys.co/incident-reporter/incident-reporter-app/-/merge_requests/1763", "feat: add reported by type add-edit ticket page")</f>
        <v/>
      </c>
      <c r="G3446" t="inlineStr">
        <is>
          <t>feat/reported-by-type</t>
        </is>
      </c>
      <c r="H3446" t="inlineStr">
        <is>
          <t>sprint-17</t>
        </is>
      </c>
      <c r="I3446" t="inlineStr">
        <is>
          <t>merged</t>
        </is>
      </c>
      <c r="J3446" t="inlineStr">
        <is>
          <t>2bf4082e33b08f4a397edf947465a940d671c094</t>
        </is>
      </c>
      <c r="K3446">
        <f>HYPERLINK("http://gitlab.osmosys.co/incident-reporter/incident-reporter-app/-/merge_requests/1763#note_236495", "Pipeline failure")</f>
        <v/>
      </c>
      <c r="L3446" t="inlineStr">
        <is>
          <t>2025-07-14 20:10:28.256 IST</t>
        </is>
      </c>
      <c r="M3446" t="inlineStr">
        <is>
          <t>Soundariya B</t>
        </is>
      </c>
      <c r="N3446" t="inlineStr">
        <is>
          <t>Yes</t>
        </is>
      </c>
      <c r="O3446" t="inlineStr">
        <is>
          <t>Yes</t>
        </is>
      </c>
      <c r="P3446" t="inlineStr">
        <is>
          <t>Sayan Mondal</t>
        </is>
      </c>
      <c r="Q3446" t="inlineStr">
        <is>
          <t>Bad</t>
        </is>
      </c>
    </row>
    <row r="3447">
      <c r="A3447" t="inlineStr">
        <is>
          <t>sayan.mondal</t>
        </is>
      </c>
      <c r="B3447" t="inlineStr">
        <is>
          <t>Sayan Mondal</t>
        </is>
      </c>
      <c r="C3447" t="inlineStr">
        <is>
          <t>sayan.m@osmosys.co</t>
        </is>
      </c>
      <c r="D3447" t="inlineStr">
        <is>
          <t>incident-reporter</t>
        </is>
      </c>
      <c r="E3447">
        <f>HYPERLINK("http://gitlab.osmosys.co/incident-reporter/incident-reporter-app", "OQSHA Mobile App")</f>
        <v/>
      </c>
      <c r="F3447">
        <f>HYPERLINK("http://gitlab.osmosys.co/incident-reporter/incident-reporter-app/-/merge_requests/1760", "fix: fix back button gesture for ppe, moc, pssr and library page")</f>
        <v/>
      </c>
      <c r="G3447" t="inlineStr">
        <is>
          <t>fix/back-btn</t>
        </is>
      </c>
      <c r="H3447" t="inlineStr">
        <is>
          <t>sprint-17</t>
        </is>
      </c>
      <c r="I3447" t="inlineStr">
        <is>
          <t>merged</t>
        </is>
      </c>
      <c r="J3447" t="inlineStr"/>
      <c r="K3447" t="inlineStr"/>
      <c r="L3447" t="inlineStr"/>
      <c r="M3447" t="inlineStr"/>
      <c r="N3447" t="inlineStr"/>
      <c r="O3447" t="inlineStr"/>
      <c r="P3447" t="inlineStr"/>
      <c r="Q3447" t="inlineStr"/>
    </row>
    <row r="3448">
      <c r="A3448" t="inlineStr">
        <is>
          <t>sayan.mondal</t>
        </is>
      </c>
      <c r="B3448" t="inlineStr">
        <is>
          <t>Sayan Mondal</t>
        </is>
      </c>
      <c r="C3448" t="inlineStr">
        <is>
          <t>sayan.m@osmosys.co</t>
        </is>
      </c>
      <c r="D3448" t="inlineStr">
        <is>
          <t>incident-reporter</t>
        </is>
      </c>
      <c r="E3448">
        <f>HYPERLINK("http://gitlab.osmosys.co/incident-reporter/incident-reporter-app", "OQSHA Mobile App")</f>
        <v/>
      </c>
      <c r="F3448">
        <f>HYPERLINK("http://gitlab.osmosys.co/incident-reporter/incident-reporter-app/-/merge_requests/1758", "merge latest changes from sprint-16 to sprint-17")</f>
        <v/>
      </c>
      <c r="G3448" t="inlineStr">
        <is>
          <t>feat/sprint-16</t>
        </is>
      </c>
      <c r="H3448" t="inlineStr">
        <is>
          <t>sprint-17</t>
        </is>
      </c>
      <c r="I3448" t="inlineStr">
        <is>
          <t>merged</t>
        </is>
      </c>
      <c r="J3448" t="inlineStr"/>
      <c r="K3448" t="inlineStr"/>
      <c r="L3448" t="inlineStr"/>
      <c r="M3448" t="inlineStr"/>
      <c r="N3448" t="inlineStr"/>
      <c r="O3448" t="inlineStr"/>
      <c r="P3448" t="inlineStr"/>
      <c r="Q3448" t="inlineStr"/>
    </row>
    <row r="3449">
      <c r="A3449" t="inlineStr">
        <is>
          <t>sayan.mondal</t>
        </is>
      </c>
      <c r="B3449" t="inlineStr">
        <is>
          <t>Sayan Mondal</t>
        </is>
      </c>
      <c r="C3449" t="inlineStr">
        <is>
          <t>sayan.m@osmosys.co</t>
        </is>
      </c>
      <c r="D3449" t="inlineStr">
        <is>
          <t>incident-reporter</t>
        </is>
      </c>
      <c r="E3449">
        <f>HYPERLINK("http://gitlab.osmosys.co/incident-reporter/incident-reporter-app", "OQSHA Mobile App")</f>
        <v/>
      </c>
      <c r="F3449">
        <f>HYPERLINK("http://gitlab.osmosys.co/incident-reporter/incident-reporter-app/-/merge_requests/1757", "merge branch 16 to 17")</f>
        <v/>
      </c>
      <c r="G3449" t="inlineStr">
        <is>
          <t>sprint-16</t>
        </is>
      </c>
      <c r="H3449" t="inlineStr">
        <is>
          <t>sprint-17</t>
        </is>
      </c>
      <c r="I3449" t="inlineStr">
        <is>
          <t>closed</t>
        </is>
      </c>
      <c r="J3449" t="inlineStr"/>
      <c r="K3449" t="inlineStr"/>
      <c r="L3449" t="inlineStr"/>
      <c r="M3449" t="inlineStr"/>
      <c r="N3449" t="inlineStr"/>
      <c r="O3449" t="inlineStr"/>
      <c r="P3449" t="inlineStr"/>
      <c r="Q3449" t="inlineStr"/>
    </row>
    <row r="3450">
      <c r="A3450" t="inlineStr">
        <is>
          <t>sayan.mondal</t>
        </is>
      </c>
      <c r="B3450" t="inlineStr">
        <is>
          <t>Sayan Mondal</t>
        </is>
      </c>
      <c r="C3450" t="inlineStr">
        <is>
          <t>sayan.m@osmosys.co</t>
        </is>
      </c>
      <c r="D3450" t="inlineStr">
        <is>
          <t>incident-reporter</t>
        </is>
      </c>
      <c r="E3450">
        <f>HYPERLINK("http://gitlab.osmosys.co/incident-reporter/incident-reporter-app", "OQSHA Mobile App")</f>
        <v/>
      </c>
      <c r="F3450">
        <f>HYPERLINK("http://gitlab.osmosys.co/incident-reporter/incident-reporter-app/-/merge_requests/1756", "feat: add reported by dropdown in the view ticket page")</f>
        <v/>
      </c>
      <c r="G3450" t="inlineStr">
        <is>
          <t>feat/reported-by</t>
        </is>
      </c>
      <c r="H3450" t="inlineStr">
        <is>
          <t>sprint-17</t>
        </is>
      </c>
      <c r="I3450" t="inlineStr">
        <is>
          <t>merged</t>
        </is>
      </c>
      <c r="J3450" t="inlineStr"/>
      <c r="K3450" t="inlineStr"/>
      <c r="L3450" t="inlineStr"/>
      <c r="M3450" t="inlineStr"/>
      <c r="N3450" t="inlineStr"/>
      <c r="O3450" t="inlineStr"/>
      <c r="P3450" t="inlineStr"/>
      <c r="Q3450" t="inlineStr"/>
    </row>
    <row r="3451">
      <c r="A3451" t="inlineStr">
        <is>
          <t>sayan.mondal</t>
        </is>
      </c>
      <c r="B3451" t="inlineStr">
        <is>
          <t>Sayan Mondal</t>
        </is>
      </c>
      <c r="C3451" t="inlineStr">
        <is>
          <t>sayan.m@osmosys.co</t>
        </is>
      </c>
      <c r="D3451" t="inlineStr">
        <is>
          <t>incident-reporter</t>
        </is>
      </c>
      <c r="E3451">
        <f>HYPERLINK("http://gitlab.osmosys.co/incident-reporter/incident-reporter-app", "OQSHA Mobile App")</f>
        <v/>
      </c>
      <c r="F3451">
        <f>HYPERLINK("http://gitlab.osmosys.co/incident-reporter/incident-reporter-app/-/merge_requests/1743", "feat: add inspection option while scanning asset qr code")</f>
        <v/>
      </c>
      <c r="G3451" t="inlineStr">
        <is>
          <t>feat/asset-qr</t>
        </is>
      </c>
      <c r="H3451" t="inlineStr">
        <is>
          <t>sprint-17</t>
        </is>
      </c>
      <c r="I3451" t="inlineStr">
        <is>
          <t>merged</t>
        </is>
      </c>
      <c r="J3451" t="inlineStr">
        <is>
          <t>bbc4e306db087f263b5b3aea0d6acab8b3ac0a65</t>
        </is>
      </c>
      <c r="K3451">
        <f>HYPERLINK("http://gitlab.osmosys.co/incident-reporter/incident-reporter-app/-/merge_requests/1743#note_234586", "It should be - btn-custom")</f>
        <v/>
      </c>
      <c r="L3451" t="inlineStr">
        <is>
          <t>2025-07-10 22:40:41.482 IST</t>
        </is>
      </c>
      <c r="M3451" t="inlineStr">
        <is>
          <t>Soundariya B</t>
        </is>
      </c>
      <c r="N3451" t="inlineStr">
        <is>
          <t>Yes</t>
        </is>
      </c>
      <c r="O3451" t="inlineStr">
        <is>
          <t>Yes</t>
        </is>
      </c>
      <c r="P3451" t="inlineStr">
        <is>
          <t>Soundariya B</t>
        </is>
      </c>
      <c r="Q3451" t="inlineStr">
        <is>
          <t>Bad</t>
        </is>
      </c>
    </row>
    <row r="3452">
      <c r="A3452" t="inlineStr">
        <is>
          <t>sayan.mondal</t>
        </is>
      </c>
      <c r="B3452" t="inlineStr">
        <is>
          <t>Sayan Mondal</t>
        </is>
      </c>
      <c r="C3452" t="inlineStr">
        <is>
          <t>sayan.m@osmosys.co</t>
        </is>
      </c>
      <c r="D3452" t="inlineStr">
        <is>
          <t>incident-reporter</t>
        </is>
      </c>
      <c r="E3452">
        <f>HYPERLINK("http://gitlab.osmosys.co/incident-reporter/incident-reporter-app", "OQSHA Mobile App")</f>
        <v/>
      </c>
      <c r="F3452">
        <f>HYPERLINK("http://gitlab.osmosys.co/incident-reporter/incident-reporter-app/-/merge_requests/1743", "feat: add inspection option while scanning asset qr code")</f>
        <v/>
      </c>
      <c r="G3452" t="inlineStr">
        <is>
          <t>feat/asset-qr</t>
        </is>
      </c>
      <c r="H3452" t="inlineStr">
        <is>
          <t>sprint-17</t>
        </is>
      </c>
      <c r="I3452" t="inlineStr">
        <is>
          <t>merged</t>
        </is>
      </c>
      <c r="J3452" t="inlineStr">
        <is>
          <t>db3772e5b1e37f3a830c5fd81345f7832083905f</t>
        </is>
      </c>
      <c r="K3452">
        <f>HYPERLINK("http://gitlab.osmosys.co/incident-reporter/incident-reporter-app/-/merge_requests/1743#note_234587", "Declare the data type")</f>
        <v/>
      </c>
      <c r="L3452" t="inlineStr">
        <is>
          <t>2025-07-10 22:40:41.581 IST</t>
        </is>
      </c>
      <c r="M3452" t="inlineStr">
        <is>
          <t>Soundariya B</t>
        </is>
      </c>
      <c r="N3452" t="inlineStr">
        <is>
          <t>Yes</t>
        </is>
      </c>
      <c r="O3452" t="inlineStr">
        <is>
          <t>Yes</t>
        </is>
      </c>
      <c r="P3452" t="inlineStr">
        <is>
          <t>Soundariya B</t>
        </is>
      </c>
      <c r="Q3452" t="inlineStr">
        <is>
          <t>Bad</t>
        </is>
      </c>
    </row>
    <row r="3453">
      <c r="A3453" t="inlineStr">
        <is>
          <t>sayan.mondal</t>
        </is>
      </c>
      <c r="B3453" t="inlineStr">
        <is>
          <t>Sayan Mondal</t>
        </is>
      </c>
      <c r="C3453" t="inlineStr">
        <is>
          <t>sayan.m@osmosys.co</t>
        </is>
      </c>
      <c r="D3453" t="inlineStr">
        <is>
          <t>incident-reporter</t>
        </is>
      </c>
      <c r="E3453">
        <f>HYPERLINK("http://gitlab.osmosys.co/incident-reporter/incident-reporter-app", "OQSHA Mobile App")</f>
        <v/>
      </c>
      <c r="F3453">
        <f>HYPERLINK("http://gitlab.osmosys.co/incident-reporter/incident-reporter-app/-/merge_requests/1743", "feat: add inspection option while scanning asset qr code")</f>
        <v/>
      </c>
      <c r="G3453" t="inlineStr">
        <is>
          <t>feat/asset-qr</t>
        </is>
      </c>
      <c r="H3453" t="inlineStr">
        <is>
          <t>sprint-17</t>
        </is>
      </c>
      <c r="I3453" t="inlineStr">
        <is>
          <t>merged</t>
        </is>
      </c>
      <c r="J3453" t="inlineStr">
        <is>
          <t>c99fd3faf345383009e7f7a1613435865ce09ce1</t>
        </is>
      </c>
      <c r="K3453">
        <f>HYPERLINK("http://gitlab.osmosys.co/incident-reporter/incident-reporter-app/-/merge_requests/1743#note_234588", "By pushing logic into navigation arguments can create brittle code paths, especially if something fails and navigate() never gets called. It’s best to resolve all data beforehand and isolate navigation strictly to routing.
So please do Preprocess Navigation Data Before")</f>
        <v/>
      </c>
      <c r="L3453" t="inlineStr">
        <is>
          <t>2025-07-10 22:40:41.638 IST</t>
        </is>
      </c>
      <c r="M3453" t="inlineStr">
        <is>
          <t>Soundariya B</t>
        </is>
      </c>
      <c r="N3453" t="inlineStr">
        <is>
          <t>Yes</t>
        </is>
      </c>
      <c r="O3453" t="inlineStr">
        <is>
          <t>Yes</t>
        </is>
      </c>
      <c r="P3453" t="inlineStr">
        <is>
          <t>Soundariya B</t>
        </is>
      </c>
      <c r="Q3453" t="inlineStr">
        <is>
          <t>Bad</t>
        </is>
      </c>
    </row>
    <row r="3454">
      <c r="A3454" t="inlineStr">
        <is>
          <t>sayan.mondal</t>
        </is>
      </c>
      <c r="B3454" t="inlineStr">
        <is>
          <t>Sayan Mondal</t>
        </is>
      </c>
      <c r="C3454" t="inlineStr">
        <is>
          <t>sayan.m@osmosys.co</t>
        </is>
      </c>
      <c r="D3454" t="inlineStr">
        <is>
          <t>incident-reporter</t>
        </is>
      </c>
      <c r="E3454">
        <f>HYPERLINK("http://gitlab.osmosys.co/incident-reporter/incident-reporter-app", "OQSHA Mobile App")</f>
        <v/>
      </c>
      <c r="F3454">
        <f>HYPERLINK("http://gitlab.osmosys.co/incident-reporter/incident-reporter-app/-/merge_requests/1743", "feat: add inspection option while scanning asset qr code")</f>
        <v/>
      </c>
      <c r="G3454" t="inlineStr">
        <is>
          <t>feat/asset-qr</t>
        </is>
      </c>
      <c r="H3454" t="inlineStr">
        <is>
          <t>sprint-17</t>
        </is>
      </c>
      <c r="I3454" t="inlineStr">
        <is>
          <t>merged</t>
        </is>
      </c>
      <c r="J3454" t="inlineStr">
        <is>
          <t>b98ae5004189693f5ea1260425fdb964e3b78db0</t>
        </is>
      </c>
      <c r="K3454">
        <f>HYPERLINK("http://gitlab.osmosys.co/incident-reporter/incident-reporter-app/-/merge_requests/1743#note_234589", "By pushing logic into navigation arguments can create brittle code paths, especially if something fails and navigate() never gets called. It’s best to resolve all data beforehand and isolate navigation strictly to routing.
So please do Preprocess Navigation Data Before")</f>
        <v/>
      </c>
      <c r="L3454" t="inlineStr">
        <is>
          <t>2025-07-10 22:40:41.695 IST</t>
        </is>
      </c>
      <c r="M3454" t="inlineStr">
        <is>
          <t>Soundariya B</t>
        </is>
      </c>
      <c r="N3454" t="inlineStr">
        <is>
          <t>Yes</t>
        </is>
      </c>
      <c r="O3454" t="inlineStr">
        <is>
          <t>Yes</t>
        </is>
      </c>
      <c r="P3454" t="inlineStr">
        <is>
          <t>Soundariya B</t>
        </is>
      </c>
      <c r="Q3454" t="inlineStr">
        <is>
          <t>Bad</t>
        </is>
      </c>
    </row>
    <row r="3455">
      <c r="A3455" t="inlineStr">
        <is>
          <t>sayan.mondal</t>
        </is>
      </c>
      <c r="B3455" t="inlineStr">
        <is>
          <t>Sayan Mondal</t>
        </is>
      </c>
      <c r="C3455" t="inlineStr">
        <is>
          <t>sayan.m@osmosys.co</t>
        </is>
      </c>
      <c r="D3455" t="inlineStr">
        <is>
          <t>incident-reporter</t>
        </is>
      </c>
      <c r="E3455">
        <f>HYPERLINK("http://gitlab.osmosys.co/incident-reporter/incident-reporter-app", "OQSHA Mobile App")</f>
        <v/>
      </c>
      <c r="F3455">
        <f>HYPERLINK("http://gitlab.osmosys.co/incident-reporter/incident-reporter-app/-/merge_requests/1743", "feat: add inspection option while scanning asset qr code")</f>
        <v/>
      </c>
      <c r="G3455" t="inlineStr">
        <is>
          <t>feat/asset-qr</t>
        </is>
      </c>
      <c r="H3455" t="inlineStr">
        <is>
          <t>sprint-17</t>
        </is>
      </c>
      <c r="I3455" t="inlineStr">
        <is>
          <t>merged</t>
        </is>
      </c>
      <c r="J3455" t="inlineStr">
        <is>
          <t>764f42cfbdb8b4b036fe70425f4e7f6b9b2c6c2a</t>
        </is>
      </c>
      <c r="K3455">
        <f>HYPERLINK("http://gitlab.osmosys.co/incident-reporter/incident-reporter-app/-/merge_requests/1743#note_234590", "This can be done in single place right? and this is using more than 1 places")</f>
        <v/>
      </c>
      <c r="L3455" t="inlineStr">
        <is>
          <t>2025-07-10 22:40:41.794 IST</t>
        </is>
      </c>
      <c r="M3455" t="inlineStr">
        <is>
          <t>Soundariya B</t>
        </is>
      </c>
      <c r="N3455" t="inlineStr">
        <is>
          <t>Yes</t>
        </is>
      </c>
      <c r="O3455" t="inlineStr">
        <is>
          <t>Yes</t>
        </is>
      </c>
      <c r="P3455" t="inlineStr">
        <is>
          <t>Soundariya B</t>
        </is>
      </c>
      <c r="Q3455" t="inlineStr">
        <is>
          <t>Bad</t>
        </is>
      </c>
    </row>
    <row r="3456">
      <c r="A3456" t="inlineStr">
        <is>
          <t>sayan.mondal</t>
        </is>
      </c>
      <c r="B3456" t="inlineStr">
        <is>
          <t>Sayan Mondal</t>
        </is>
      </c>
      <c r="C3456" t="inlineStr">
        <is>
          <t>sayan.m@osmosys.co</t>
        </is>
      </c>
      <c r="D3456" t="inlineStr">
        <is>
          <t>incident-reporter</t>
        </is>
      </c>
      <c r="E3456">
        <f>HYPERLINK("http://gitlab.osmosys.co/incident-reporter/incident-reporter-app", "OQSHA Mobile App")</f>
        <v/>
      </c>
      <c r="F3456">
        <f>HYPERLINK("http://gitlab.osmosys.co/incident-reporter/incident-reporter-app/-/merge_requests/1743", "feat: add inspection option while scanning asset qr code")</f>
        <v/>
      </c>
      <c r="G3456" t="inlineStr">
        <is>
          <t>feat/asset-qr</t>
        </is>
      </c>
      <c r="H3456" t="inlineStr">
        <is>
          <t>sprint-17</t>
        </is>
      </c>
      <c r="I3456" t="inlineStr">
        <is>
          <t>merged</t>
        </is>
      </c>
      <c r="J3456" t="inlineStr">
        <is>
          <t>f2c68d62f5fefc7139c979076aa9f22310015b7d</t>
        </is>
      </c>
      <c r="K3456">
        <f>HYPERLINK("http://gitlab.osmosys.co/incident-reporter/incident-reporter-app/-/merge_requests/1743#note_234591", "Why only permission for view it should be for edit also right")</f>
        <v/>
      </c>
      <c r="L3456" t="inlineStr">
        <is>
          <t>2025-07-10 22:40:41.878 IST</t>
        </is>
      </c>
      <c r="M3456" t="inlineStr">
        <is>
          <t>Soundariya B</t>
        </is>
      </c>
      <c r="N3456" t="inlineStr">
        <is>
          <t>Yes</t>
        </is>
      </c>
      <c r="O3456" t="inlineStr">
        <is>
          <t>Yes</t>
        </is>
      </c>
      <c r="P3456" t="inlineStr">
        <is>
          <t>Soundariya B</t>
        </is>
      </c>
      <c r="Q3456" t="inlineStr">
        <is>
          <t>Bad</t>
        </is>
      </c>
    </row>
    <row r="3457">
      <c r="A3457" t="inlineStr">
        <is>
          <t>sayan.mondal</t>
        </is>
      </c>
      <c r="B3457" t="inlineStr">
        <is>
          <t>Sayan Mondal</t>
        </is>
      </c>
      <c r="C3457" t="inlineStr">
        <is>
          <t>sayan.m@osmosys.co</t>
        </is>
      </c>
      <c r="D3457" t="inlineStr">
        <is>
          <t>incident-reporter</t>
        </is>
      </c>
      <c r="E3457">
        <f>HYPERLINK("http://gitlab.osmosys.co/incident-reporter/incident-reporter-app", "OQSHA Mobile App")</f>
        <v/>
      </c>
      <c r="F3457">
        <f>HYPERLINK("http://gitlab.osmosys.co/incident-reporter/incident-reporter-app/-/merge_requests/1743", "feat: add inspection option while scanning asset qr code")</f>
        <v/>
      </c>
      <c r="G3457" t="inlineStr">
        <is>
          <t>feat/asset-qr</t>
        </is>
      </c>
      <c r="H3457" t="inlineStr">
        <is>
          <t>sprint-17</t>
        </is>
      </c>
      <c r="I3457" t="inlineStr">
        <is>
          <t>merged</t>
        </is>
      </c>
      <c r="J3457" t="inlineStr">
        <is>
          <t>cf647c86af1aa872b61d0a365d6fadaa62c85eaa</t>
        </is>
      </c>
      <c r="K3457">
        <f>HYPERLINK("http://gitlab.osmosys.co/incident-reporter/incident-reporter-app/-/merge_requests/1743#note_234592", "It should be Asset name")</f>
        <v/>
      </c>
      <c r="L3457" t="inlineStr">
        <is>
          <t>2025-07-10 22:40:41.961 IST</t>
        </is>
      </c>
      <c r="M3457" t="inlineStr">
        <is>
          <t>Soundariya B</t>
        </is>
      </c>
      <c r="N3457" t="inlineStr">
        <is>
          <t>Yes</t>
        </is>
      </c>
      <c r="O3457" t="inlineStr">
        <is>
          <t>Yes</t>
        </is>
      </c>
      <c r="P3457" t="inlineStr">
        <is>
          <t>Soundariya B</t>
        </is>
      </c>
      <c r="Q3457" t="inlineStr">
        <is>
          <t>Bad</t>
        </is>
      </c>
    </row>
    <row r="3458">
      <c r="A3458" t="inlineStr">
        <is>
          <t>sayan.mondal</t>
        </is>
      </c>
      <c r="B3458" t="inlineStr">
        <is>
          <t>Sayan Mondal</t>
        </is>
      </c>
      <c r="C3458" t="inlineStr">
        <is>
          <t>sayan.m@osmosys.co</t>
        </is>
      </c>
      <c r="D3458" t="inlineStr">
        <is>
          <t>incident-reporter</t>
        </is>
      </c>
      <c r="E3458">
        <f>HYPERLINK("http://gitlab.osmosys.co/incident-reporter/incident-reporter-app", "OQSHA Mobile App")</f>
        <v/>
      </c>
      <c r="F3458">
        <f>HYPERLINK("http://gitlab.osmosys.co/incident-reporter/incident-reporter-app/-/merge_requests/1738", "fix: remove module name from notification")</f>
        <v/>
      </c>
      <c r="G3458" t="inlineStr">
        <is>
          <t>fix/user-dropdown</t>
        </is>
      </c>
      <c r="H3458" t="inlineStr">
        <is>
          <t>sprint-16</t>
        </is>
      </c>
      <c r="I3458" t="inlineStr">
        <is>
          <t>merged</t>
        </is>
      </c>
      <c r="J3458" t="inlineStr"/>
      <c r="K3458" t="inlineStr"/>
      <c r="L3458" t="inlineStr"/>
      <c r="M3458" t="inlineStr"/>
      <c r="N3458" t="inlineStr"/>
      <c r="O3458" t="inlineStr"/>
      <c r="P3458" t="inlineStr"/>
      <c r="Q3458" t="inlineStr"/>
    </row>
    <row r="3459">
      <c r="A3459" t="inlineStr">
        <is>
          <t>sayan.mondal</t>
        </is>
      </c>
      <c r="B3459" t="inlineStr">
        <is>
          <t>Sayan Mondal</t>
        </is>
      </c>
      <c r="C3459" t="inlineStr">
        <is>
          <t>sayan.m@osmosys.co</t>
        </is>
      </c>
      <c r="D3459" t="inlineStr">
        <is>
          <t>incident-reporter</t>
        </is>
      </c>
      <c r="E3459">
        <f>HYPERLINK("http://gitlab.osmosys.co/incident-reporter/incident-reporter-app", "OQSHA Mobile App")</f>
        <v/>
      </c>
      <c r="F3459">
        <f>HYPERLINK("http://gitlab.osmosys.co/incident-reporter/incident-reporter-app/-/merge_requests/1727", "fix: update the api url to get user in notification")</f>
        <v/>
      </c>
      <c r="G3459" t="inlineStr">
        <is>
          <t>fix/user-module</t>
        </is>
      </c>
      <c r="H3459" t="inlineStr">
        <is>
          <t>sprint-16</t>
        </is>
      </c>
      <c r="I3459" t="inlineStr">
        <is>
          <t>merged</t>
        </is>
      </c>
      <c r="J3459" t="inlineStr"/>
      <c r="K3459" t="inlineStr"/>
      <c r="L3459" t="inlineStr"/>
      <c r="M3459" t="inlineStr"/>
      <c r="N3459" t="inlineStr"/>
      <c r="O3459" t="inlineStr"/>
      <c r="P3459" t="inlineStr"/>
      <c r="Q3459" t="inlineStr"/>
    </row>
    <row r="3460">
      <c r="A3460" t="inlineStr">
        <is>
          <t>sayan.mondal</t>
        </is>
      </c>
      <c r="B3460" t="inlineStr">
        <is>
          <t>Sayan Mondal</t>
        </is>
      </c>
      <c r="C3460" t="inlineStr">
        <is>
          <t>sayan.m@osmosys.co</t>
        </is>
      </c>
      <c r="D3460" t="inlineStr">
        <is>
          <t>incident-reporter</t>
        </is>
      </c>
      <c r="E3460">
        <f>HYPERLINK("http://gitlab.osmosys.co/incident-reporter/incident-reporter-app", "OQSHA Mobile App")</f>
        <v/>
      </c>
      <c r="F3460">
        <f>HYPERLINK("http://gitlab.osmosys.co/incident-reporter/incident-reporter-app/-/merge_requests/1726", "feat: add task option while add/edit inspection")</f>
        <v/>
      </c>
      <c r="G3460" t="inlineStr">
        <is>
          <t>feat/add-task</t>
        </is>
      </c>
      <c r="H3460" t="inlineStr">
        <is>
          <t>sprint-17</t>
        </is>
      </c>
      <c r="I3460" t="inlineStr">
        <is>
          <t>merged</t>
        </is>
      </c>
      <c r="J3460" t="inlineStr">
        <is>
          <t>09a43c942ef7861910746265f12096b2035b984a</t>
        </is>
      </c>
      <c r="K3460">
        <f>HYPERLINK("http://gitlab.osmosys.co/incident-reporter/incident-reporter-app/-/merge_requests/1726#note_232004", "It should be btn-add-task")</f>
        <v/>
      </c>
      <c r="L3460" t="inlineStr">
        <is>
          <t>2025-07-04 13:05:30.025 IST</t>
        </is>
      </c>
      <c r="M3460" t="inlineStr">
        <is>
          <t>Soundariya B</t>
        </is>
      </c>
      <c r="N3460" t="inlineStr">
        <is>
          <t>Yes</t>
        </is>
      </c>
      <c r="O3460" t="inlineStr">
        <is>
          <t>Yes</t>
        </is>
      </c>
      <c r="P3460" t="inlineStr">
        <is>
          <t>Soundariya B</t>
        </is>
      </c>
      <c r="Q3460" t="inlineStr">
        <is>
          <t>Bad</t>
        </is>
      </c>
    </row>
    <row r="3461">
      <c r="A3461" t="inlineStr">
        <is>
          <t>sayan.mondal</t>
        </is>
      </c>
      <c r="B3461" t="inlineStr">
        <is>
          <t>Sayan Mondal</t>
        </is>
      </c>
      <c r="C3461" t="inlineStr">
        <is>
          <t>sayan.m@osmosys.co</t>
        </is>
      </c>
      <c r="D3461" t="inlineStr">
        <is>
          <t>incident-reporter</t>
        </is>
      </c>
      <c r="E3461">
        <f>HYPERLINK("http://gitlab.osmosys.co/incident-reporter/incident-reporter-app", "OQSHA Mobile App")</f>
        <v/>
      </c>
      <c r="F3461">
        <f>HYPERLINK("http://gitlab.osmosys.co/incident-reporter/incident-reporter-app/-/merge_requests/1726", "feat: add task option while add/edit inspection")</f>
        <v/>
      </c>
      <c r="G3461" t="inlineStr">
        <is>
          <t>feat/add-task</t>
        </is>
      </c>
      <c r="H3461" t="inlineStr">
        <is>
          <t>sprint-17</t>
        </is>
      </c>
      <c r="I3461" t="inlineStr">
        <is>
          <t>merged</t>
        </is>
      </c>
      <c r="J3461" t="inlineStr">
        <is>
          <t>67b70938a1e466434b49c06583a8d1b07b4d8d3f</t>
        </is>
      </c>
      <c r="K3461">
        <f>HYPERLINK("http://gitlab.osmosys.co/incident-reporter/incident-reporter-app/-/merge_requests/1726#note_232005", "Not recommended")</f>
        <v/>
      </c>
      <c r="L3461" t="inlineStr">
        <is>
          <t>2025-07-04 13:05:30.088 IST</t>
        </is>
      </c>
      <c r="M3461" t="inlineStr">
        <is>
          <t>Soundariya B</t>
        </is>
      </c>
      <c r="N3461" t="inlineStr">
        <is>
          <t>Yes</t>
        </is>
      </c>
      <c r="O3461" t="inlineStr">
        <is>
          <t>Yes</t>
        </is>
      </c>
      <c r="P3461" t="inlineStr">
        <is>
          <t>Soundariya B</t>
        </is>
      </c>
      <c r="Q3461" t="inlineStr">
        <is>
          <t>Bad</t>
        </is>
      </c>
    </row>
    <row r="3462">
      <c r="A3462" t="inlineStr">
        <is>
          <t>sayan.mondal</t>
        </is>
      </c>
      <c r="B3462" t="inlineStr">
        <is>
          <t>Sayan Mondal</t>
        </is>
      </c>
      <c r="C3462" t="inlineStr">
        <is>
          <t>sayan.m@osmosys.co</t>
        </is>
      </c>
      <c r="D3462" t="inlineStr">
        <is>
          <t>incident-reporter</t>
        </is>
      </c>
      <c r="E3462">
        <f>HYPERLINK("http://gitlab.osmosys.co/incident-reporter/incident-reporter-app", "OQSHA Mobile App")</f>
        <v/>
      </c>
      <c r="F3462">
        <f>HYPERLINK("http://gitlab.osmosys.co/incident-reporter/incident-reporter-app/-/merge_requests/1726", "feat: add task option while add/edit inspection")</f>
        <v/>
      </c>
      <c r="G3462" t="inlineStr">
        <is>
          <t>feat/add-task</t>
        </is>
      </c>
      <c r="H3462" t="inlineStr">
        <is>
          <t>sprint-17</t>
        </is>
      </c>
      <c r="I3462" t="inlineStr">
        <is>
          <t>merged</t>
        </is>
      </c>
      <c r="J3462" t="inlineStr">
        <is>
          <t>47043ac9ece212938c8bfda8520d2de4adfe2559</t>
        </is>
      </c>
      <c r="K3462">
        <f>HYPERLINK("http://gitlab.osmosys.co/incident-reporter/incident-reporter-app/-/merge_requests/1726#note_232006", "It should be btn-add-task")</f>
        <v/>
      </c>
      <c r="L3462" t="inlineStr">
        <is>
          <t>2025-07-04 13:05:30.179 IST</t>
        </is>
      </c>
      <c r="M3462" t="inlineStr">
        <is>
          <t>Soundariya B</t>
        </is>
      </c>
      <c r="N3462" t="inlineStr">
        <is>
          <t>Yes</t>
        </is>
      </c>
      <c r="O3462" t="inlineStr">
        <is>
          <t>Yes</t>
        </is>
      </c>
      <c r="P3462" t="inlineStr">
        <is>
          <t>Soundariya B</t>
        </is>
      </c>
      <c r="Q3462" t="inlineStr">
        <is>
          <t>Bad</t>
        </is>
      </c>
    </row>
    <row r="3463">
      <c r="A3463" t="inlineStr">
        <is>
          <t>sayan.mondal</t>
        </is>
      </c>
      <c r="B3463" t="inlineStr">
        <is>
          <t>Sayan Mondal</t>
        </is>
      </c>
      <c r="C3463" t="inlineStr">
        <is>
          <t>sayan.m@osmosys.co</t>
        </is>
      </c>
      <c r="D3463" t="inlineStr">
        <is>
          <t>incident-reporter</t>
        </is>
      </c>
      <c r="E3463">
        <f>HYPERLINK("http://gitlab.osmosys.co/incident-reporter/incident-reporter-app", "OQSHA Mobile App")</f>
        <v/>
      </c>
      <c r="F3463">
        <f>HYPERLINK("http://gitlab.osmosys.co/incident-reporter/incident-reporter-app/-/merge_requests/1726", "feat: add task option while add/edit inspection")</f>
        <v/>
      </c>
      <c r="G3463" t="inlineStr">
        <is>
          <t>feat/add-task</t>
        </is>
      </c>
      <c r="H3463" t="inlineStr">
        <is>
          <t>sprint-17</t>
        </is>
      </c>
      <c r="I3463" t="inlineStr">
        <is>
          <t>merged</t>
        </is>
      </c>
      <c r="J3463" t="inlineStr">
        <is>
          <t>107c185221decffd3a2eff242b55485f25693945</t>
        </is>
      </c>
      <c r="K3463">
        <f>HYPERLINK("http://gitlab.osmosys.co/incident-reporter/incident-reporter-app/-/merge_requests/1726#note_232007", "Error toast message is missing")</f>
        <v/>
      </c>
      <c r="L3463" t="inlineStr">
        <is>
          <t>2025-07-04 13:05:30.266 IST</t>
        </is>
      </c>
      <c r="M3463" t="inlineStr">
        <is>
          <t>Soundariya B</t>
        </is>
      </c>
      <c r="N3463" t="inlineStr">
        <is>
          <t>Yes</t>
        </is>
      </c>
      <c r="O3463" t="inlineStr">
        <is>
          <t>Yes</t>
        </is>
      </c>
      <c r="P3463" t="inlineStr">
        <is>
          <t>Soundariya B</t>
        </is>
      </c>
      <c r="Q3463" t="inlineStr">
        <is>
          <t>Bad</t>
        </is>
      </c>
    </row>
    <row r="3464">
      <c r="A3464" t="inlineStr">
        <is>
          <t>sayan.mondal</t>
        </is>
      </c>
      <c r="B3464" t="inlineStr">
        <is>
          <t>Sayan Mondal</t>
        </is>
      </c>
      <c r="C3464" t="inlineStr">
        <is>
          <t>sayan.m@osmosys.co</t>
        </is>
      </c>
      <c r="D3464" t="inlineStr">
        <is>
          <t>incident-reporter</t>
        </is>
      </c>
      <c r="E3464">
        <f>HYPERLINK("http://gitlab.osmosys.co/incident-reporter/incident-reporter-app", "OQSHA Mobile App")</f>
        <v/>
      </c>
      <c r="F3464">
        <f>HYPERLINK("http://gitlab.osmosys.co/incident-reporter/incident-reporter-app/-/merge_requests/1726", "feat: add task option while add/edit inspection")</f>
        <v/>
      </c>
      <c r="G3464" t="inlineStr">
        <is>
          <t>feat/add-task</t>
        </is>
      </c>
      <c r="H3464" t="inlineStr">
        <is>
          <t>sprint-17</t>
        </is>
      </c>
      <c r="I3464" t="inlineStr">
        <is>
          <t>merged</t>
        </is>
      </c>
      <c r="J3464" t="inlineStr">
        <is>
          <t>d8f137e1c0172f6c8287069f00f4fd62dfd61d21</t>
        </is>
      </c>
      <c r="K3464">
        <f>HYPERLINK("http://gitlab.osmosys.co/incident-reporter/incident-reporter-app/-/merge_requests/1726#note_232008", "It should be btn-add-task")</f>
        <v/>
      </c>
      <c r="L3464" t="inlineStr">
        <is>
          <t>2025-07-04 13:05:30.357 IST</t>
        </is>
      </c>
      <c r="M3464" t="inlineStr">
        <is>
          <t>Soundariya B</t>
        </is>
      </c>
      <c r="N3464" t="inlineStr">
        <is>
          <t>Yes</t>
        </is>
      </c>
      <c r="O3464" t="inlineStr">
        <is>
          <t>Yes</t>
        </is>
      </c>
      <c r="P3464" t="inlineStr">
        <is>
          <t>Soundariya B</t>
        </is>
      </c>
      <c r="Q3464" t="inlineStr">
        <is>
          <t>Bad</t>
        </is>
      </c>
    </row>
    <row r="3465">
      <c r="A3465" t="inlineStr">
        <is>
          <t>sayan.mondal</t>
        </is>
      </c>
      <c r="B3465" t="inlineStr">
        <is>
          <t>Sayan Mondal</t>
        </is>
      </c>
      <c r="C3465" t="inlineStr">
        <is>
          <t>sayan.m@osmosys.co</t>
        </is>
      </c>
      <c r="D3465" t="inlineStr">
        <is>
          <t>incident-reporter</t>
        </is>
      </c>
      <c r="E3465">
        <f>HYPERLINK("http://gitlab.osmosys.co/incident-reporter/incident-reporter-app", "OQSHA Mobile App")</f>
        <v/>
      </c>
      <c r="F3465">
        <f>HYPERLINK("http://gitlab.osmosys.co/incident-reporter/incident-reporter-app/-/merge_requests/1726", "feat: add task option while add/edit inspection")</f>
        <v/>
      </c>
      <c r="G3465" t="inlineStr">
        <is>
          <t>feat/add-task</t>
        </is>
      </c>
      <c r="H3465" t="inlineStr">
        <is>
          <t>sprint-17</t>
        </is>
      </c>
      <c r="I3465" t="inlineStr">
        <is>
          <t>merged</t>
        </is>
      </c>
      <c r="J3465" t="inlineStr">
        <is>
          <t>10d2d785e2ed41f89c7aeb1e8ef7a1d1aed55e38</t>
        </is>
      </c>
      <c r="K3465">
        <f>HYPERLINK("http://gitlab.osmosys.co/incident-reporter/incident-reporter-app/-/merge_requests/1726#note_232009", "Error toast message")</f>
        <v/>
      </c>
      <c r="L3465" t="inlineStr">
        <is>
          <t>2025-07-04 13:05:30.439 IST</t>
        </is>
      </c>
      <c r="M3465" t="inlineStr">
        <is>
          <t>Soundariya B</t>
        </is>
      </c>
      <c r="N3465" t="inlineStr">
        <is>
          <t>Yes</t>
        </is>
      </c>
      <c r="O3465" t="inlineStr">
        <is>
          <t>Yes</t>
        </is>
      </c>
      <c r="P3465" t="inlineStr">
        <is>
          <t>Soundariya B</t>
        </is>
      </c>
      <c r="Q3465" t="inlineStr">
        <is>
          <t>Bad</t>
        </is>
      </c>
    </row>
    <row r="3466">
      <c r="A3466" t="inlineStr">
        <is>
          <t>sayan.mondal</t>
        </is>
      </c>
      <c r="B3466" t="inlineStr">
        <is>
          <t>Sayan Mondal</t>
        </is>
      </c>
      <c r="C3466" t="inlineStr">
        <is>
          <t>sayan.m@osmosys.co</t>
        </is>
      </c>
      <c r="D3466" t="inlineStr">
        <is>
          <t>incident-reporter</t>
        </is>
      </c>
      <c r="E3466">
        <f>HYPERLINK("http://gitlab.osmosys.co/incident-reporter/incident-reporter-admin-dashboard", "OQSHA Admin Dashboard")</f>
        <v/>
      </c>
      <c r="F3466">
        <f>HYPERLINK("http://gitlab.osmosys.co/incident-reporter/incident-reporter-admin-dashboard/-/merge_requests/131", "fix: add ownerId in payload for edit organisation")</f>
        <v/>
      </c>
      <c r="G3466" t="inlineStr">
        <is>
          <t>fix/ownerId</t>
        </is>
      </c>
      <c r="H3466" t="inlineStr">
        <is>
          <t>release-4.5.0</t>
        </is>
      </c>
      <c r="I3466" t="inlineStr">
        <is>
          <t>merged</t>
        </is>
      </c>
      <c r="J3466" t="inlineStr"/>
      <c r="K3466" t="inlineStr"/>
      <c r="L3466" t="inlineStr"/>
      <c r="M3466" t="inlineStr"/>
      <c r="N3466" t="inlineStr"/>
      <c r="O3466" t="inlineStr"/>
      <c r="P3466" t="inlineStr"/>
      <c r="Q3466" t="inlineStr"/>
    </row>
    <row r="3467">
      <c r="A3467" t="inlineStr">
        <is>
          <t>vaibhav.v</t>
        </is>
      </c>
      <c r="B3467" t="inlineStr">
        <is>
          <t>Vaibhav Varun</t>
        </is>
      </c>
      <c r="C3467" t="inlineStr">
        <is>
          <t>vaibhav.v@osmosys.co</t>
        </is>
      </c>
      <c r="D3467" t="inlineStr">
        <is>
          <t>incident-reporter</t>
        </is>
      </c>
      <c r="E3467">
        <f>HYPERLINK("http://gitlab.osmosys.co/incident-reporter/incident-reporter-angular-portal", "OQSHA Portal")</f>
        <v/>
      </c>
      <c r="F3467">
        <f>HYPERLINK("http://gitlab.osmosys.co/incident-reporter/incident-reporter-angular-portal/-/merge_requests/3650", "fix: column visibility fix")</f>
        <v/>
      </c>
      <c r="G3467" t="inlineStr">
        <is>
          <t>fix/fix-source</t>
        </is>
      </c>
      <c r="H3467" t="inlineStr">
        <is>
          <t>sprint-18</t>
        </is>
      </c>
      <c r="I3467" t="inlineStr">
        <is>
          <t>merged</t>
        </is>
      </c>
      <c r="J3467" t="inlineStr"/>
      <c r="K3467" t="inlineStr"/>
      <c r="L3467" t="inlineStr"/>
      <c r="M3467" t="inlineStr"/>
      <c r="N3467" t="inlineStr"/>
      <c r="O3467" t="inlineStr"/>
      <c r="P3467" t="inlineStr"/>
      <c r="Q3467" t="inlineStr"/>
    </row>
    <row r="3468">
      <c r="A3468" t="inlineStr">
        <is>
          <t>vaibhav.v</t>
        </is>
      </c>
      <c r="B3468" t="inlineStr">
        <is>
          <t>Vaibhav Varun</t>
        </is>
      </c>
      <c r="C3468" t="inlineStr">
        <is>
          <t>vaibhav.v@osmosys.co</t>
        </is>
      </c>
      <c r="D3468" t="inlineStr">
        <is>
          <t>incident-reporter</t>
        </is>
      </c>
      <c r="E3468">
        <f>HYPERLINK("http://gitlab.osmosys.co/incident-reporter/incident-reporter-angular-portal", "OQSHA Portal")</f>
        <v/>
      </c>
      <c r="F3468">
        <f>HYPERLINK("http://gitlab.osmosys.co/incident-reporter/incident-reporter-angular-portal/-/merge_requests/3627", "feat: add condition on ptw copy")</f>
        <v/>
      </c>
      <c r="G3468" t="inlineStr">
        <is>
          <t>feat/ptw-allow-copy</t>
        </is>
      </c>
      <c r="H3468" t="inlineStr">
        <is>
          <t>sprint-18</t>
        </is>
      </c>
      <c r="I3468" t="inlineStr">
        <is>
          <t>merged</t>
        </is>
      </c>
      <c r="J3468" t="inlineStr"/>
      <c r="K3468" t="inlineStr"/>
      <c r="L3468" t="inlineStr"/>
      <c r="M3468" t="inlineStr"/>
      <c r="N3468" t="inlineStr"/>
      <c r="O3468" t="inlineStr"/>
      <c r="P3468" t="inlineStr"/>
      <c r="Q3468" t="inlineStr"/>
    </row>
    <row r="3469">
      <c r="A3469" t="inlineStr">
        <is>
          <t>vaibhav.v</t>
        </is>
      </c>
      <c r="B3469" t="inlineStr">
        <is>
          <t>Vaibhav Varun</t>
        </is>
      </c>
      <c r="C3469" t="inlineStr">
        <is>
          <t>vaibhav.v@osmosys.co</t>
        </is>
      </c>
      <c r="D3469" t="inlineStr">
        <is>
          <t>incident-reporter</t>
        </is>
      </c>
      <c r="E3469">
        <f>HYPERLINK("http://gitlab.osmosys.co/incident-reporter/incident-reporter-angular-portal", "OQSHA Portal")</f>
        <v/>
      </c>
      <c r="F3469">
        <f>HYPERLINK("http://gitlab.osmosys.co/incident-reporter/incident-reporter-angular-portal/-/merge_requests/3626", "fix: fix user type value")</f>
        <v/>
      </c>
      <c r="G3469" t="inlineStr">
        <is>
          <t>fix/fix-user</t>
        </is>
      </c>
      <c r="H3469" t="inlineStr">
        <is>
          <t>sprint-18</t>
        </is>
      </c>
      <c r="I3469" t="inlineStr">
        <is>
          <t>merged</t>
        </is>
      </c>
      <c r="J3469" t="inlineStr"/>
      <c r="K3469" t="inlineStr"/>
      <c r="L3469" t="inlineStr"/>
      <c r="M3469" t="inlineStr"/>
      <c r="N3469" t="inlineStr"/>
      <c r="O3469" t="inlineStr"/>
      <c r="P3469" t="inlineStr"/>
      <c r="Q3469" t="inlineStr"/>
    </row>
    <row r="3470">
      <c r="A3470" t="inlineStr">
        <is>
          <t>vaibhav.v</t>
        </is>
      </c>
      <c r="B3470" t="inlineStr">
        <is>
          <t>Vaibhav Varun</t>
        </is>
      </c>
      <c r="C3470" t="inlineStr">
        <is>
          <t>vaibhav.v@osmosys.co</t>
        </is>
      </c>
      <c r="D3470" t="inlineStr">
        <is>
          <t>incident-reporter</t>
        </is>
      </c>
      <c r="E3470">
        <f>HYPERLINK("http://gitlab.osmosys.co/incident-reporter/incident-reporter-angular-portal", "OQSHA Portal")</f>
        <v/>
      </c>
      <c r="F3470">
        <f>HYPERLINK("http://gitlab.osmosys.co/incident-reporter/incident-reporter-angular-portal/-/merge_requests/3619", "feat: add dashboard for modules")</f>
        <v/>
      </c>
      <c r="G3470" t="inlineStr">
        <is>
          <t>feat/module-dashboard</t>
        </is>
      </c>
      <c r="H3470" t="inlineStr">
        <is>
          <t>sprint-19</t>
        </is>
      </c>
      <c r="I3470" t="inlineStr">
        <is>
          <t>opened</t>
        </is>
      </c>
      <c r="J3470" t="inlineStr"/>
      <c r="K3470" t="inlineStr"/>
      <c r="L3470" t="inlineStr"/>
      <c r="M3470" t="inlineStr"/>
      <c r="N3470" t="inlineStr"/>
      <c r="O3470" t="inlineStr"/>
      <c r="P3470" t="inlineStr"/>
      <c r="Q3470" t="inlineStr"/>
    </row>
    <row r="3471">
      <c r="A3471" t="inlineStr">
        <is>
          <t>vaibhav.v</t>
        </is>
      </c>
      <c r="B3471" t="inlineStr">
        <is>
          <t>Vaibhav Varun</t>
        </is>
      </c>
      <c r="C3471" t="inlineStr">
        <is>
          <t>vaibhav.v@osmosys.co</t>
        </is>
      </c>
      <c r="D3471" t="inlineStr">
        <is>
          <t>incident-reporter</t>
        </is>
      </c>
      <c r="E3471">
        <f>HYPERLINK("http://gitlab.osmosys.co/incident-reporter/incident-reporter-angular-portal", "OQSHA Portal")</f>
        <v/>
      </c>
      <c r="F3471">
        <f>HYPERLINK("http://gitlab.osmosys.co/incident-reporter/incident-reporter-angular-portal/-/merge_requests/3617", "fix: client specific fixes on modules")</f>
        <v/>
      </c>
      <c r="G3471" t="inlineStr">
        <is>
          <t>fix/client-fixes</t>
        </is>
      </c>
      <c r="H3471" t="inlineStr">
        <is>
          <t>sprint-18</t>
        </is>
      </c>
      <c r="I3471" t="inlineStr">
        <is>
          <t>merged</t>
        </is>
      </c>
      <c r="J3471" t="inlineStr">
        <is>
          <t>287765568f29852c2074471a991b6d634be6b528</t>
        </is>
      </c>
      <c r="K3471">
        <f>HYPERLINK("http://gitlab.osmosys.co/incident-reporter/incident-reporter-angular-portal/-/merge_requests/3617#note_242696", "Just use  - 'disableAssociatedPtw' and 'this' instance is not required here")</f>
        <v/>
      </c>
      <c r="L3471" t="inlineStr">
        <is>
          <t>2025-07-28 10:18:25.775 IST</t>
        </is>
      </c>
      <c r="M3471" t="inlineStr">
        <is>
          <t>Soundariya B</t>
        </is>
      </c>
      <c r="N3471" t="inlineStr">
        <is>
          <t>Yes</t>
        </is>
      </c>
      <c r="O3471" t="inlineStr">
        <is>
          <t>Yes</t>
        </is>
      </c>
      <c r="P3471" t="inlineStr">
        <is>
          <t>Soundariya B</t>
        </is>
      </c>
      <c r="Q3471" t="inlineStr">
        <is>
          <t>Bad</t>
        </is>
      </c>
    </row>
    <row r="3472">
      <c r="A3472" t="inlineStr">
        <is>
          <t>vaibhav.v</t>
        </is>
      </c>
      <c r="B3472" t="inlineStr">
        <is>
          <t>Vaibhav Varun</t>
        </is>
      </c>
      <c r="C3472" t="inlineStr">
        <is>
          <t>vaibhav.v@osmosys.co</t>
        </is>
      </c>
      <c r="D3472" t="inlineStr">
        <is>
          <t>incident-reporter</t>
        </is>
      </c>
      <c r="E3472">
        <f>HYPERLINK("http://gitlab.osmosys.co/incident-reporter/incident-reporter-angular-portal", "OQSHA Portal")</f>
        <v/>
      </c>
      <c r="F3472">
        <f>HYPERLINK("http://gitlab.osmosys.co/incident-reporter/incident-reporter-angular-portal/-/merge_requests/3617", "fix: client specific fixes on modules")</f>
        <v/>
      </c>
      <c r="G3472" t="inlineStr">
        <is>
          <t>fix/client-fixes</t>
        </is>
      </c>
      <c r="H3472" t="inlineStr">
        <is>
          <t>sprint-18</t>
        </is>
      </c>
      <c r="I3472" t="inlineStr">
        <is>
          <t>merged</t>
        </is>
      </c>
      <c r="J3472" t="inlineStr">
        <is>
          <t>287765568f29852c2074471a991b6d634be6b528</t>
        </is>
      </c>
      <c r="K3472">
        <f>HYPERLINK("http://gitlab.osmosys.co/incident-reporter/incident-reporter-angular-portal/-/merge_requests/3617#note_242819", "Done")</f>
        <v/>
      </c>
      <c r="L3472" t="inlineStr">
        <is>
          <t>2025-07-28 11:54:49.329 IST</t>
        </is>
      </c>
      <c r="M3472" t="inlineStr">
        <is>
          <t>Vaibhav Varun</t>
        </is>
      </c>
      <c r="N3472" t="inlineStr">
        <is>
          <t>No</t>
        </is>
      </c>
      <c r="O3472" t="inlineStr">
        <is>
          <t>Yes</t>
        </is>
      </c>
      <c r="P3472" t="inlineStr">
        <is>
          <t>Soundariya B</t>
        </is>
      </c>
      <c r="Q3472" t="inlineStr">
        <is>
          <t>Bad</t>
        </is>
      </c>
    </row>
    <row r="3473">
      <c r="A3473" t="inlineStr">
        <is>
          <t>vaibhav.v</t>
        </is>
      </c>
      <c r="B3473" t="inlineStr">
        <is>
          <t>Vaibhav Varun</t>
        </is>
      </c>
      <c r="C3473" t="inlineStr">
        <is>
          <t>vaibhav.v@osmosys.co</t>
        </is>
      </c>
      <c r="D3473" t="inlineStr">
        <is>
          <t>incident-reporter</t>
        </is>
      </c>
      <c r="E3473">
        <f>HYPERLINK("http://gitlab.osmosys.co/incident-reporter/incident-reporter-angular-portal", "OQSHA Portal")</f>
        <v/>
      </c>
      <c r="F3473">
        <f>HYPERLINK("http://gitlab.osmosys.co/incident-reporter/incident-reporter-angular-portal/-/merge_requests/3617", "fix: client specific fixes on modules")</f>
        <v/>
      </c>
      <c r="G3473" t="inlineStr">
        <is>
          <t>fix/client-fixes</t>
        </is>
      </c>
      <c r="H3473" t="inlineStr">
        <is>
          <t>sprint-18</t>
        </is>
      </c>
      <c r="I3473" t="inlineStr">
        <is>
          <t>merged</t>
        </is>
      </c>
      <c r="J3473" t="inlineStr">
        <is>
          <t>ec971a26ff658ca1958523e6598bcc9a200324c8</t>
        </is>
      </c>
      <c r="K3473">
        <f>HYPERLINK("http://gitlab.osmosys.co/incident-reporter/incident-reporter-angular-portal/-/merge_requests/3617#note_242697", "It should be userType instead of only type")</f>
        <v/>
      </c>
      <c r="L3473" t="inlineStr">
        <is>
          <t>2025-07-28 10:18:25.850 IST</t>
        </is>
      </c>
      <c r="M3473" t="inlineStr">
        <is>
          <t>Soundariya B</t>
        </is>
      </c>
      <c r="N3473" t="inlineStr">
        <is>
          <t>Yes</t>
        </is>
      </c>
      <c r="O3473" t="inlineStr">
        <is>
          <t>Yes</t>
        </is>
      </c>
      <c r="P3473" t="inlineStr">
        <is>
          <t>Soundariya B</t>
        </is>
      </c>
      <c r="Q3473" t="inlineStr">
        <is>
          <t>Bad</t>
        </is>
      </c>
    </row>
    <row r="3474">
      <c r="A3474" t="inlineStr">
        <is>
          <t>vaibhav.v</t>
        </is>
      </c>
      <c r="B3474" t="inlineStr">
        <is>
          <t>Vaibhav Varun</t>
        </is>
      </c>
      <c r="C3474" t="inlineStr">
        <is>
          <t>vaibhav.v@osmosys.co</t>
        </is>
      </c>
      <c r="D3474" t="inlineStr">
        <is>
          <t>incident-reporter</t>
        </is>
      </c>
      <c r="E3474">
        <f>HYPERLINK("http://gitlab.osmosys.co/incident-reporter/incident-reporter-angular-portal", "OQSHA Portal")</f>
        <v/>
      </c>
      <c r="F3474">
        <f>HYPERLINK("http://gitlab.osmosys.co/incident-reporter/incident-reporter-angular-portal/-/merge_requests/3617", "fix: client specific fixes on modules")</f>
        <v/>
      </c>
      <c r="G3474" t="inlineStr">
        <is>
          <t>fix/client-fixes</t>
        </is>
      </c>
      <c r="H3474" t="inlineStr">
        <is>
          <t>sprint-18</t>
        </is>
      </c>
      <c r="I3474" t="inlineStr">
        <is>
          <t>merged</t>
        </is>
      </c>
      <c r="J3474" t="inlineStr">
        <is>
          <t>ec971a26ff658ca1958523e6598bcc9a200324c8</t>
        </is>
      </c>
      <c r="K3474">
        <f>HYPERLINK("http://gitlab.osmosys.co/incident-reporter/incident-reporter-angular-portal/-/merge_requests/3617#note_242828", "Done")</f>
        <v/>
      </c>
      <c r="L3474" t="inlineStr">
        <is>
          <t>2025-07-28 11:56:13.906 IST</t>
        </is>
      </c>
      <c r="M3474" t="inlineStr">
        <is>
          <t>Vaibhav Varun</t>
        </is>
      </c>
      <c r="N3474" t="inlineStr">
        <is>
          <t>No</t>
        </is>
      </c>
      <c r="O3474" t="inlineStr">
        <is>
          <t>Yes</t>
        </is>
      </c>
      <c r="P3474" t="inlineStr">
        <is>
          <t>Soundariya B</t>
        </is>
      </c>
      <c r="Q3474" t="inlineStr">
        <is>
          <t>Bad</t>
        </is>
      </c>
    </row>
    <row r="3475">
      <c r="A3475" t="inlineStr">
        <is>
          <t>vaibhav.v</t>
        </is>
      </c>
      <c r="B3475" t="inlineStr">
        <is>
          <t>Vaibhav Varun</t>
        </is>
      </c>
      <c r="C3475" t="inlineStr">
        <is>
          <t>vaibhav.v@osmosys.co</t>
        </is>
      </c>
      <c r="D3475" t="inlineStr">
        <is>
          <t>incident-reporter</t>
        </is>
      </c>
      <c r="E3475">
        <f>HYPERLINK("http://gitlab.osmosys.co/incident-reporter/incident-reporter-angular-portal", "OQSHA Portal")</f>
        <v/>
      </c>
      <c r="F3475">
        <f>HYPERLINK("http://gitlab.osmosys.co/incident-reporter/incident-reporter-angular-portal/-/merge_requests/3617", "fix: client specific fixes on modules")</f>
        <v/>
      </c>
      <c r="G3475" t="inlineStr">
        <is>
          <t>fix/client-fixes</t>
        </is>
      </c>
      <c r="H3475" t="inlineStr">
        <is>
          <t>sprint-18</t>
        </is>
      </c>
      <c r="I3475" t="inlineStr">
        <is>
          <t>merged</t>
        </is>
      </c>
      <c r="J3475" t="inlineStr">
        <is>
          <t>ecf19634a558be1979382102340a42a0236f84c7</t>
        </is>
      </c>
      <c r="K3475">
        <f>HYPERLINK("http://gitlab.osmosys.co/incident-reporter/incident-reporter-angular-portal/-/merge_requests/3617#note_242698", "Please use the existing one  - 'selectedUserType' and remove 'selectedUserTypeId' which is added unnecessarily")</f>
        <v/>
      </c>
      <c r="L3475" t="inlineStr">
        <is>
          <t>2025-07-28 10:18:25.965 IST</t>
        </is>
      </c>
      <c r="M3475" t="inlineStr">
        <is>
          <t>Soundariya B</t>
        </is>
      </c>
      <c r="N3475" t="inlineStr">
        <is>
          <t>Yes</t>
        </is>
      </c>
      <c r="O3475" t="inlineStr">
        <is>
          <t>Yes</t>
        </is>
      </c>
      <c r="P3475" t="inlineStr">
        <is>
          <t>Soundariya B</t>
        </is>
      </c>
      <c r="Q3475" t="inlineStr">
        <is>
          <t>Neutral</t>
        </is>
      </c>
    </row>
    <row r="3476">
      <c r="A3476" t="inlineStr">
        <is>
          <t>vaibhav.v</t>
        </is>
      </c>
      <c r="B3476" t="inlineStr">
        <is>
          <t>Vaibhav Varun</t>
        </is>
      </c>
      <c r="C3476" t="inlineStr">
        <is>
          <t>vaibhav.v@osmosys.co</t>
        </is>
      </c>
      <c r="D3476" t="inlineStr">
        <is>
          <t>incident-reporter</t>
        </is>
      </c>
      <c r="E3476">
        <f>HYPERLINK("http://gitlab.osmosys.co/incident-reporter/incident-reporter-angular-portal", "OQSHA Portal")</f>
        <v/>
      </c>
      <c r="F3476">
        <f>HYPERLINK("http://gitlab.osmosys.co/incident-reporter/incident-reporter-angular-portal/-/merge_requests/3617", "fix: client specific fixes on modules")</f>
        <v/>
      </c>
      <c r="G3476" t="inlineStr">
        <is>
          <t>fix/client-fixes</t>
        </is>
      </c>
      <c r="H3476" t="inlineStr">
        <is>
          <t>sprint-18</t>
        </is>
      </c>
      <c r="I3476" t="inlineStr">
        <is>
          <t>merged</t>
        </is>
      </c>
      <c r="J3476" t="inlineStr">
        <is>
          <t>ecf19634a558be1979382102340a42a0236f84c7</t>
        </is>
      </c>
      <c r="K3476">
        <f>HYPERLINK("http://gitlab.osmosys.co/incident-reporter/incident-reporter-angular-portal/-/merge_requests/3617#note_242829", "It is added on purpose, to bypass some functionality thing.")</f>
        <v/>
      </c>
      <c r="L3476" t="inlineStr">
        <is>
          <t>2025-07-28 11:56:45.714 IST</t>
        </is>
      </c>
      <c r="M3476" t="inlineStr">
        <is>
          <t>Vaibhav Varun</t>
        </is>
      </c>
      <c r="N3476" t="inlineStr">
        <is>
          <t>No</t>
        </is>
      </c>
      <c r="O3476" t="inlineStr">
        <is>
          <t>Yes</t>
        </is>
      </c>
      <c r="P3476" t="inlineStr">
        <is>
          <t>Soundariya B</t>
        </is>
      </c>
      <c r="Q3476" t="inlineStr">
        <is>
          <t>Neutral</t>
        </is>
      </c>
    </row>
    <row r="3477">
      <c r="A3477" t="inlineStr">
        <is>
          <t>vaibhav.v</t>
        </is>
      </c>
      <c r="B3477" t="inlineStr">
        <is>
          <t>Vaibhav Varun</t>
        </is>
      </c>
      <c r="C3477" t="inlineStr">
        <is>
          <t>vaibhav.v@osmosys.co</t>
        </is>
      </c>
      <c r="D3477" t="inlineStr">
        <is>
          <t>incident-reporter</t>
        </is>
      </c>
      <c r="E3477">
        <f>HYPERLINK("http://gitlab.osmosys.co/incident-reporter/incident-reporter-angular-portal", "OQSHA Portal")</f>
        <v/>
      </c>
      <c r="F3477">
        <f>HYPERLINK("http://gitlab.osmosys.co/incident-reporter/incident-reporter-angular-portal/-/merge_requests/3617", "fix: client specific fixes on modules")</f>
        <v/>
      </c>
      <c r="G3477" t="inlineStr">
        <is>
          <t>fix/client-fixes</t>
        </is>
      </c>
      <c r="H3477" t="inlineStr">
        <is>
          <t>sprint-18</t>
        </is>
      </c>
      <c r="I3477" t="inlineStr">
        <is>
          <t>merged</t>
        </is>
      </c>
      <c r="J3477" t="inlineStr">
        <is>
          <t>ecf19634a558be1979382102340a42a0236f84c7</t>
        </is>
      </c>
      <c r="K3477">
        <f>HYPERLINK("http://gitlab.osmosys.co/incident-reporter/incident-reporter-angular-portal/-/merge_requests/3617#note_242867", "`selectedUserType` and `selectedUserTypeId` I can see both variables are doing same thing so why it can't use the single one?")</f>
        <v/>
      </c>
      <c r="L3477" t="inlineStr">
        <is>
          <t>2025-07-28 12:28:10.669 IST</t>
        </is>
      </c>
      <c r="M3477" t="inlineStr">
        <is>
          <t>Soundariya B</t>
        </is>
      </c>
      <c r="N3477" t="inlineStr">
        <is>
          <t>Yes</t>
        </is>
      </c>
      <c r="O3477" t="inlineStr">
        <is>
          <t>Yes</t>
        </is>
      </c>
      <c r="P3477" t="inlineStr">
        <is>
          <t>Soundariya B</t>
        </is>
      </c>
      <c r="Q3477" t="inlineStr">
        <is>
          <t>Neutral</t>
        </is>
      </c>
    </row>
    <row r="3478">
      <c r="A3478" t="inlineStr">
        <is>
          <t>vaibhav.v</t>
        </is>
      </c>
      <c r="B3478" t="inlineStr">
        <is>
          <t>Vaibhav Varun</t>
        </is>
      </c>
      <c r="C3478" t="inlineStr">
        <is>
          <t>vaibhav.v@osmosys.co</t>
        </is>
      </c>
      <c r="D3478" t="inlineStr">
        <is>
          <t>incident-reporter</t>
        </is>
      </c>
      <c r="E3478">
        <f>HYPERLINK("http://gitlab.osmosys.co/incident-reporter/incident-reporter-angular-portal", "OQSHA Portal")</f>
        <v/>
      </c>
      <c r="F3478">
        <f>HYPERLINK("http://gitlab.osmosys.co/incident-reporter/incident-reporter-angular-portal/-/merge_requests/3617", "fix: client specific fixes on modules")</f>
        <v/>
      </c>
      <c r="G3478" t="inlineStr">
        <is>
          <t>fix/client-fixes</t>
        </is>
      </c>
      <c r="H3478" t="inlineStr">
        <is>
          <t>sprint-18</t>
        </is>
      </c>
      <c r="I3478" t="inlineStr">
        <is>
          <t>merged</t>
        </is>
      </c>
      <c r="J3478" t="inlineStr">
        <is>
          <t>ecf19634a558be1979382102340a42a0236f84c7</t>
        </is>
      </c>
      <c r="K3478">
        <f>HYPERLINK("http://gitlab.osmosys.co/incident-reporter/incident-reporter-angular-portal/-/merge_requests/3617#note_242887", "One is using to store the data and later use it for other purposes, and one is for updating the radio button based on ngModel data that I enter in it.")</f>
        <v/>
      </c>
      <c r="L3478" t="inlineStr">
        <is>
          <t>2025-07-28 13:02:02.288 IST</t>
        </is>
      </c>
      <c r="M3478" t="inlineStr">
        <is>
          <t>Vaibhav Varun</t>
        </is>
      </c>
      <c r="N3478" t="inlineStr">
        <is>
          <t>No</t>
        </is>
      </c>
      <c r="O3478" t="inlineStr">
        <is>
          <t>Yes</t>
        </is>
      </c>
      <c r="P3478" t="inlineStr">
        <is>
          <t>Soundariya B</t>
        </is>
      </c>
      <c r="Q3478" t="inlineStr">
        <is>
          <t>Neutral</t>
        </is>
      </c>
    </row>
    <row r="3479">
      <c r="A3479" t="inlineStr">
        <is>
          <t>vaibhav.v</t>
        </is>
      </c>
      <c r="B3479" t="inlineStr">
        <is>
          <t>Vaibhav Varun</t>
        </is>
      </c>
      <c r="C3479" t="inlineStr">
        <is>
          <t>vaibhav.v@osmosys.co</t>
        </is>
      </c>
      <c r="D3479" t="inlineStr">
        <is>
          <t>incident-reporter</t>
        </is>
      </c>
      <c r="E3479">
        <f>HYPERLINK("http://gitlab.osmosys.co/incident-reporter/incident-reporter-angular-portal", "OQSHA Portal")</f>
        <v/>
      </c>
      <c r="F3479">
        <f>HYPERLINK("http://gitlab.osmosys.co/incident-reporter/incident-reporter-angular-portal/-/merge_requests/3617", "fix: client specific fixes on modules")</f>
        <v/>
      </c>
      <c r="G3479" t="inlineStr">
        <is>
          <t>fix/client-fixes</t>
        </is>
      </c>
      <c r="H3479" t="inlineStr">
        <is>
          <t>sprint-18</t>
        </is>
      </c>
      <c r="I3479" t="inlineStr">
        <is>
          <t>merged</t>
        </is>
      </c>
      <c r="J3479" t="inlineStr">
        <is>
          <t>c197203f19d60e0e2174def44be7595b1a2b5095</t>
        </is>
      </c>
      <c r="K3479">
        <f>HYPERLINK("http://gitlab.osmosys.co/incident-reporter/incident-reporter-angular-portal/-/merge_requests/3617#note_242699", "Please take these label keys from MOC object - lang files")</f>
        <v/>
      </c>
      <c r="L3479" t="inlineStr">
        <is>
          <t>2025-07-28 10:18:26.047 IST</t>
        </is>
      </c>
      <c r="M3479" t="inlineStr">
        <is>
          <t>Soundariya B</t>
        </is>
      </c>
      <c r="N3479" t="inlineStr">
        <is>
          <t>Yes</t>
        </is>
      </c>
      <c r="O3479" t="inlineStr">
        <is>
          <t>Yes</t>
        </is>
      </c>
      <c r="P3479" t="inlineStr">
        <is>
          <t>Soundariya B</t>
        </is>
      </c>
      <c r="Q3479" t="inlineStr">
        <is>
          <t>Bad</t>
        </is>
      </c>
    </row>
    <row r="3480">
      <c r="A3480" t="inlineStr">
        <is>
          <t>vaibhav.v</t>
        </is>
      </c>
      <c r="B3480" t="inlineStr">
        <is>
          <t>Vaibhav Varun</t>
        </is>
      </c>
      <c r="C3480" t="inlineStr">
        <is>
          <t>vaibhav.v@osmosys.co</t>
        </is>
      </c>
      <c r="D3480" t="inlineStr">
        <is>
          <t>incident-reporter</t>
        </is>
      </c>
      <c r="E3480">
        <f>HYPERLINK("http://gitlab.osmosys.co/incident-reporter/incident-reporter-angular-portal", "OQSHA Portal")</f>
        <v/>
      </c>
      <c r="F3480">
        <f>HYPERLINK("http://gitlab.osmosys.co/incident-reporter/incident-reporter-angular-portal/-/merge_requests/3617", "fix: client specific fixes on modules")</f>
        <v/>
      </c>
      <c r="G3480" t="inlineStr">
        <is>
          <t>fix/client-fixes</t>
        </is>
      </c>
      <c r="H3480" t="inlineStr">
        <is>
          <t>sprint-18</t>
        </is>
      </c>
      <c r="I3480" t="inlineStr">
        <is>
          <t>merged</t>
        </is>
      </c>
      <c r="J3480" t="inlineStr">
        <is>
          <t>e0bb2b49d51f20098035a0e90dbbcb7ef1ec8062</t>
        </is>
      </c>
      <c r="K3480">
        <f>HYPERLINK("http://gitlab.osmosys.co/incident-reporter/incident-reporter-angular-portal/-/merge_requests/3617#note_242700", "Please take these label keys from MOC object - lang files")</f>
        <v/>
      </c>
      <c r="L3480" t="inlineStr">
        <is>
          <t>2025-07-28 10:18:26.096 IST</t>
        </is>
      </c>
      <c r="M3480" t="inlineStr">
        <is>
          <t>Soundariya B</t>
        </is>
      </c>
      <c r="N3480" t="inlineStr">
        <is>
          <t>Yes</t>
        </is>
      </c>
      <c r="O3480" t="inlineStr">
        <is>
          <t>Yes</t>
        </is>
      </c>
      <c r="P3480" t="inlineStr">
        <is>
          <t>Soundariya B</t>
        </is>
      </c>
      <c r="Q3480" t="inlineStr">
        <is>
          <t>Bad</t>
        </is>
      </c>
    </row>
    <row r="3481">
      <c r="A3481" t="inlineStr">
        <is>
          <t>vaibhav.v</t>
        </is>
      </c>
      <c r="B3481" t="inlineStr">
        <is>
          <t>Vaibhav Varun</t>
        </is>
      </c>
      <c r="C3481" t="inlineStr">
        <is>
          <t>vaibhav.v@osmosys.co</t>
        </is>
      </c>
      <c r="D3481" t="inlineStr">
        <is>
          <t>incident-reporter</t>
        </is>
      </c>
      <c r="E3481">
        <f>HYPERLINK("http://gitlab.osmosys.co/incident-reporter/incident-reporter-angular-portal", "OQSHA Portal")</f>
        <v/>
      </c>
      <c r="F3481">
        <f>HYPERLINK("http://gitlab.osmosys.co/incident-reporter/incident-reporter-angular-portal/-/merge_requests/3617", "fix: client specific fixes on modules")</f>
        <v/>
      </c>
      <c r="G3481" t="inlineStr">
        <is>
          <t>fix/client-fixes</t>
        </is>
      </c>
      <c r="H3481" t="inlineStr">
        <is>
          <t>sprint-18</t>
        </is>
      </c>
      <c r="I3481" t="inlineStr">
        <is>
          <t>merged</t>
        </is>
      </c>
      <c r="J3481" t="inlineStr">
        <is>
          <t>e0bb2b49d51f20098035a0e90dbbcb7ef1ec8062</t>
        </is>
      </c>
      <c r="K3481">
        <f>HYPERLINK("http://gitlab.osmosys.co/incident-reporter/incident-reporter-angular-portal/-/merge_requests/3617#note_242836", "Changed")</f>
        <v/>
      </c>
      <c r="L3481" t="inlineStr">
        <is>
          <t>2025-07-28 12:08:15.940 IST</t>
        </is>
      </c>
      <c r="M3481" t="inlineStr">
        <is>
          <t>Vaibhav Varun</t>
        </is>
      </c>
      <c r="N3481" t="inlineStr">
        <is>
          <t>No</t>
        </is>
      </c>
      <c r="O3481" t="inlineStr">
        <is>
          <t>Yes</t>
        </is>
      </c>
      <c r="P3481" t="inlineStr">
        <is>
          <t>Soundariya B</t>
        </is>
      </c>
      <c r="Q3481" t="inlineStr">
        <is>
          <t>Bad</t>
        </is>
      </c>
    </row>
    <row r="3482">
      <c r="A3482" t="inlineStr">
        <is>
          <t>vaibhav.v</t>
        </is>
      </c>
      <c r="B3482" t="inlineStr">
        <is>
          <t>Vaibhav Varun</t>
        </is>
      </c>
      <c r="C3482" t="inlineStr">
        <is>
          <t>vaibhav.v@osmosys.co</t>
        </is>
      </c>
      <c r="D3482" t="inlineStr">
        <is>
          <t>incident-reporter</t>
        </is>
      </c>
      <c r="E3482">
        <f>HYPERLINK("http://gitlab.osmosys.co/incident-reporter/incident-reporter-angular-portal", "OQSHA Portal")</f>
        <v/>
      </c>
      <c r="F3482">
        <f>HYPERLINK("http://gitlab.osmosys.co/incident-reporter/incident-reporter-angular-portal/-/merge_requests/3617", "fix: client specific fixes on modules")</f>
        <v/>
      </c>
      <c r="G3482" t="inlineStr">
        <is>
          <t>fix/client-fixes</t>
        </is>
      </c>
      <c r="H3482" t="inlineStr">
        <is>
          <t>sprint-18</t>
        </is>
      </c>
      <c r="I3482" t="inlineStr">
        <is>
          <t>merged</t>
        </is>
      </c>
      <c r="J3482" t="inlineStr">
        <is>
          <t>66dce0170f30aaee98b325fbed85818063d89242</t>
        </is>
      </c>
      <c r="K3482">
        <f>HYPERLINK("http://gitlab.osmosys.co/incident-reporter/incident-reporter-angular-portal/-/merge_requests/3617#note_242701", "Please use btn-ticket, btn-pssr like this")</f>
        <v/>
      </c>
      <c r="L3482" t="inlineStr">
        <is>
          <t>2025-07-28 10:18:26.192 IST</t>
        </is>
      </c>
      <c r="M3482" t="inlineStr">
        <is>
          <t>Soundariya B</t>
        </is>
      </c>
      <c r="N3482" t="inlineStr">
        <is>
          <t>Yes</t>
        </is>
      </c>
      <c r="O3482" t="inlineStr">
        <is>
          <t>Yes</t>
        </is>
      </c>
      <c r="P3482" t="inlineStr">
        <is>
          <t>Soundariya B</t>
        </is>
      </c>
      <c r="Q3482" t="inlineStr">
        <is>
          <t>Bad</t>
        </is>
      </c>
    </row>
    <row r="3483">
      <c r="A3483" t="inlineStr">
        <is>
          <t>vaibhav.v</t>
        </is>
      </c>
      <c r="B3483" t="inlineStr">
        <is>
          <t>Vaibhav Varun</t>
        </is>
      </c>
      <c r="C3483" t="inlineStr">
        <is>
          <t>vaibhav.v@osmosys.co</t>
        </is>
      </c>
      <c r="D3483" t="inlineStr">
        <is>
          <t>incident-reporter</t>
        </is>
      </c>
      <c r="E3483">
        <f>HYPERLINK("http://gitlab.osmosys.co/incident-reporter/incident-reporter-angular-portal", "OQSHA Portal")</f>
        <v/>
      </c>
      <c r="F3483">
        <f>HYPERLINK("http://gitlab.osmosys.co/incident-reporter/incident-reporter-angular-portal/-/merge_requests/3617", "fix: client specific fixes on modules")</f>
        <v/>
      </c>
      <c r="G3483" t="inlineStr">
        <is>
          <t>fix/client-fixes</t>
        </is>
      </c>
      <c r="H3483" t="inlineStr">
        <is>
          <t>sprint-18</t>
        </is>
      </c>
      <c r="I3483" t="inlineStr">
        <is>
          <t>merged</t>
        </is>
      </c>
      <c r="J3483" t="inlineStr">
        <is>
          <t>66dce0170f30aaee98b325fbed85818063d89242</t>
        </is>
      </c>
      <c r="K3483">
        <f>HYPERLINK("http://gitlab.osmosys.co/incident-reporter/incident-reporter-angular-portal/-/merge_requests/3617#note_242839", "This was not part of my code it was earlier present and I just refactored it and added button, I don't want to make any alteration as of now.")</f>
        <v/>
      </c>
      <c r="L3483" t="inlineStr">
        <is>
          <t>2025-07-28 12:09:16.590 IST</t>
        </is>
      </c>
      <c r="M3483" t="inlineStr">
        <is>
          <t>Vaibhav Varun</t>
        </is>
      </c>
      <c r="N3483" t="inlineStr">
        <is>
          <t>No</t>
        </is>
      </c>
      <c r="O3483" t="inlineStr">
        <is>
          <t>Yes</t>
        </is>
      </c>
      <c r="P3483" t="inlineStr">
        <is>
          <t>Soundariya B</t>
        </is>
      </c>
      <c r="Q3483" t="inlineStr">
        <is>
          <t>Bad</t>
        </is>
      </c>
    </row>
    <row r="3484">
      <c r="A3484" t="inlineStr">
        <is>
          <t>vaibhav.v</t>
        </is>
      </c>
      <c r="B3484" t="inlineStr">
        <is>
          <t>Vaibhav Varun</t>
        </is>
      </c>
      <c r="C3484" t="inlineStr">
        <is>
          <t>vaibhav.v@osmosys.co</t>
        </is>
      </c>
      <c r="D3484" t="inlineStr">
        <is>
          <t>incident-reporter</t>
        </is>
      </c>
      <c r="E3484">
        <f>HYPERLINK("http://gitlab.osmosys.co/incident-reporter/incident-reporter-angular-portal", "OQSHA Portal")</f>
        <v/>
      </c>
      <c r="F3484">
        <f>HYPERLINK("http://gitlab.osmosys.co/incident-reporter/incident-reporter-angular-portal/-/merge_requests/3617", "fix: client specific fixes on modules")</f>
        <v/>
      </c>
      <c r="G3484" t="inlineStr">
        <is>
          <t>fix/client-fixes</t>
        </is>
      </c>
      <c r="H3484" t="inlineStr">
        <is>
          <t>sprint-18</t>
        </is>
      </c>
      <c r="I3484" t="inlineStr">
        <is>
          <t>merged</t>
        </is>
      </c>
      <c r="J3484" t="inlineStr">
        <is>
          <t>66dce0170f30aaee98b325fbed85818063d89242</t>
        </is>
      </c>
      <c r="K3484">
        <f>HYPERLINK("http://gitlab.osmosys.co/incident-reporter/incident-reporter-angular-portal/-/merge_requests/3617#note_242868", "If the classnames are not using as global then you can do it as its small thing")</f>
        <v/>
      </c>
      <c r="L3484" t="inlineStr">
        <is>
          <t>2025-07-28 12:29:05.262 IST</t>
        </is>
      </c>
      <c r="M3484" t="inlineStr">
        <is>
          <t>Soundariya B</t>
        </is>
      </c>
      <c r="N3484" t="inlineStr">
        <is>
          <t>Yes</t>
        </is>
      </c>
      <c r="O3484" t="inlineStr">
        <is>
          <t>Yes</t>
        </is>
      </c>
      <c r="P3484" t="inlineStr">
        <is>
          <t>Soundariya B</t>
        </is>
      </c>
      <c r="Q3484" t="inlineStr">
        <is>
          <t>Bad</t>
        </is>
      </c>
    </row>
    <row r="3485">
      <c r="A3485" t="inlineStr">
        <is>
          <t>vaibhav.v</t>
        </is>
      </c>
      <c r="B3485" t="inlineStr">
        <is>
          <t>Vaibhav Varun</t>
        </is>
      </c>
      <c r="C3485" t="inlineStr">
        <is>
          <t>vaibhav.v@osmosys.co</t>
        </is>
      </c>
      <c r="D3485" t="inlineStr">
        <is>
          <t>incident-reporter</t>
        </is>
      </c>
      <c r="E3485">
        <f>HYPERLINK("http://gitlab.osmosys.co/incident-reporter/incident-reporter-angular-portal", "OQSHA Portal")</f>
        <v/>
      </c>
      <c r="F3485">
        <f>HYPERLINK("http://gitlab.osmosys.co/incident-reporter/incident-reporter-angular-portal/-/merge_requests/3617", "fix: client specific fixes on modules")</f>
        <v/>
      </c>
      <c r="G3485" t="inlineStr">
        <is>
          <t>fix/client-fixes</t>
        </is>
      </c>
      <c r="H3485" t="inlineStr">
        <is>
          <t>sprint-18</t>
        </is>
      </c>
      <c r="I3485" t="inlineStr">
        <is>
          <t>merged</t>
        </is>
      </c>
      <c r="J3485" t="inlineStr">
        <is>
          <t>4bdb84be0471326770c38d001baba86020679fb7</t>
        </is>
      </c>
      <c r="K3485">
        <f>HYPERLINK("http://gitlab.osmosys.co/incident-reporter/incident-reporter-angular-portal/-/merge_requests/3617#note_242702", "It should be - ADD_LOG")</f>
        <v/>
      </c>
      <c r="L3485" t="inlineStr">
        <is>
          <t>2025-07-28 10:18:26.302 IST</t>
        </is>
      </c>
      <c r="M3485" t="inlineStr">
        <is>
          <t>Soundariya B</t>
        </is>
      </c>
      <c r="N3485" t="inlineStr">
        <is>
          <t>Yes</t>
        </is>
      </c>
      <c r="O3485" t="inlineStr">
        <is>
          <t>Yes</t>
        </is>
      </c>
      <c r="P3485" t="inlineStr">
        <is>
          <t>Soundariya B</t>
        </is>
      </c>
      <c r="Q3485" t="inlineStr">
        <is>
          <t>Neutral</t>
        </is>
      </c>
    </row>
    <row r="3486">
      <c r="A3486" t="inlineStr">
        <is>
          <t>vaibhav.v</t>
        </is>
      </c>
      <c r="B3486" t="inlineStr">
        <is>
          <t>Vaibhav Varun</t>
        </is>
      </c>
      <c r="C3486" t="inlineStr">
        <is>
          <t>vaibhav.v@osmosys.co</t>
        </is>
      </c>
      <c r="D3486" t="inlineStr">
        <is>
          <t>incident-reporter</t>
        </is>
      </c>
      <c r="E3486">
        <f>HYPERLINK("http://gitlab.osmosys.co/incident-reporter/incident-reporter-angular-portal", "OQSHA Portal")</f>
        <v/>
      </c>
      <c r="F3486">
        <f>HYPERLINK("http://gitlab.osmosys.co/incident-reporter/incident-reporter-angular-portal/-/merge_requests/3617", "fix: client specific fixes on modules")</f>
        <v/>
      </c>
      <c r="G3486" t="inlineStr">
        <is>
          <t>fix/client-fixes</t>
        </is>
      </c>
      <c r="H3486" t="inlineStr">
        <is>
          <t>sprint-18</t>
        </is>
      </c>
      <c r="I3486" t="inlineStr">
        <is>
          <t>merged</t>
        </is>
      </c>
      <c r="J3486" t="inlineStr">
        <is>
          <t>4bdb84be0471326770c38d001baba86020679fb7</t>
        </is>
      </c>
      <c r="K3486">
        <f>HYPERLINK("http://gitlab.osmosys.co/incident-reporter/incident-reporter-angular-portal/-/merge_requests/3617#note_242843", "Its should be same across both english files cannot change based on value.")</f>
        <v/>
      </c>
      <c r="L3486" t="inlineStr">
        <is>
          <t>2025-07-28 12:09:46.545 IST</t>
        </is>
      </c>
      <c r="M3486" t="inlineStr">
        <is>
          <t>Vaibhav Varun</t>
        </is>
      </c>
      <c r="N3486" t="inlineStr">
        <is>
          <t>No</t>
        </is>
      </c>
      <c r="O3486" t="inlineStr">
        <is>
          <t>Yes</t>
        </is>
      </c>
      <c r="P3486" t="inlineStr">
        <is>
          <t>Soundariya B</t>
        </is>
      </c>
      <c r="Q3486" t="inlineStr">
        <is>
          <t>Neutral</t>
        </is>
      </c>
    </row>
    <row r="3487">
      <c r="A3487" t="inlineStr">
        <is>
          <t>vaibhav.v</t>
        </is>
      </c>
      <c r="B3487" t="inlineStr">
        <is>
          <t>Vaibhav Varun</t>
        </is>
      </c>
      <c r="C3487" t="inlineStr">
        <is>
          <t>vaibhav.v@osmosys.co</t>
        </is>
      </c>
      <c r="D3487" t="inlineStr">
        <is>
          <t>incident-reporter</t>
        </is>
      </c>
      <c r="E3487">
        <f>HYPERLINK("http://gitlab.osmosys.co/incident-reporter/incident-reporter-angular-portal", "OQSHA Portal")</f>
        <v/>
      </c>
      <c r="F3487">
        <f>HYPERLINK("http://gitlab.osmosys.co/incident-reporter/incident-reporter-angular-portal/-/merge_requests/3617", "fix: client specific fixes on modules")</f>
        <v/>
      </c>
      <c r="G3487" t="inlineStr">
        <is>
          <t>fix/client-fixes</t>
        </is>
      </c>
      <c r="H3487" t="inlineStr">
        <is>
          <t>sprint-18</t>
        </is>
      </c>
      <c r="I3487" t="inlineStr">
        <is>
          <t>merged</t>
        </is>
      </c>
      <c r="J3487" t="inlineStr">
        <is>
          <t>4bdb84be0471326770c38d001baba86020679fb7</t>
        </is>
      </c>
      <c r="K3487">
        <f>HYPERLINK("http://gitlab.osmosys.co/incident-reporter/incident-reporter-angular-portal/-/merge_requests/3617#note_242869", "If you see the all label key are based on value only like select status, etc so please do it as suggested which make easy to find the label if want to change later and can able to read code that label name is Add log not add comment")</f>
        <v/>
      </c>
      <c r="L3487" t="inlineStr">
        <is>
          <t>2025-07-28 12:30:27.805 IST</t>
        </is>
      </c>
      <c r="M3487" t="inlineStr">
        <is>
          <t>Soundariya B</t>
        </is>
      </c>
      <c r="N3487" t="inlineStr">
        <is>
          <t>Yes</t>
        </is>
      </c>
      <c r="O3487" t="inlineStr">
        <is>
          <t>Yes</t>
        </is>
      </c>
      <c r="P3487" t="inlineStr">
        <is>
          <t>Soundariya B</t>
        </is>
      </c>
      <c r="Q3487" t="inlineStr">
        <is>
          <t>Neutral</t>
        </is>
      </c>
    </row>
    <row r="3488">
      <c r="A3488" t="inlineStr">
        <is>
          <t>vaibhav.v</t>
        </is>
      </c>
      <c r="B3488" t="inlineStr">
        <is>
          <t>Vaibhav Varun</t>
        </is>
      </c>
      <c r="C3488" t="inlineStr">
        <is>
          <t>vaibhav.v@osmosys.co</t>
        </is>
      </c>
      <c r="D3488" t="inlineStr">
        <is>
          <t>incident-reporter</t>
        </is>
      </c>
      <c r="E3488">
        <f>HYPERLINK("http://gitlab.osmosys.co/incident-reporter/incident-reporter-angular-portal", "OQSHA Portal")</f>
        <v/>
      </c>
      <c r="F3488">
        <f>HYPERLINK("http://gitlab.osmosys.co/incident-reporter/incident-reporter-angular-portal/-/merge_requests/3617", "fix: client specific fixes on modules")</f>
        <v/>
      </c>
      <c r="G3488" t="inlineStr">
        <is>
          <t>fix/client-fixes</t>
        </is>
      </c>
      <c r="H3488" t="inlineStr">
        <is>
          <t>sprint-18</t>
        </is>
      </c>
      <c r="I3488" t="inlineStr">
        <is>
          <t>merged</t>
        </is>
      </c>
      <c r="J3488" t="inlineStr">
        <is>
          <t>4bdb84be0471326770c38d001baba86020679fb7</t>
        </is>
      </c>
      <c r="K3488">
        <f>HYPERLINK("http://gitlab.osmosys.co/incident-reporter/incident-reporter-angular-portal/-/merge_requests/3617#note_242891", "Suppose I am using ADD_COMMENT AS KEY for both TTK and Aparna to show some language thing, for TTK and Aparna both same key will be used at both places, it is what is being followed for do such changes, you can draw a comparison how we have changed things to keep it intact and working for both orgs.")</f>
        <v/>
      </c>
      <c r="L3488" t="inlineStr">
        <is>
          <t>2025-07-28 13:04:22.095 IST</t>
        </is>
      </c>
      <c r="M3488" t="inlineStr">
        <is>
          <t>Vaibhav Varun</t>
        </is>
      </c>
      <c r="N3488" t="inlineStr">
        <is>
          <t>No</t>
        </is>
      </c>
      <c r="O3488" t="inlineStr">
        <is>
          <t>Yes</t>
        </is>
      </c>
      <c r="P3488" t="inlineStr">
        <is>
          <t>Soundariya B</t>
        </is>
      </c>
      <c r="Q3488" t="inlineStr">
        <is>
          <t>Neutral</t>
        </is>
      </c>
    </row>
    <row r="3489">
      <c r="A3489" t="inlineStr">
        <is>
          <t>vaibhav.v</t>
        </is>
      </c>
      <c r="B3489" t="inlineStr">
        <is>
          <t>Vaibhav Varun</t>
        </is>
      </c>
      <c r="C3489" t="inlineStr">
        <is>
          <t>vaibhav.v@osmosys.co</t>
        </is>
      </c>
      <c r="D3489" t="inlineStr">
        <is>
          <t>incident-reporter</t>
        </is>
      </c>
      <c r="E3489">
        <f>HYPERLINK("http://gitlab.osmosys.co/incident-reporter/incident-reporter-angular-portal", "OQSHA Portal")</f>
        <v/>
      </c>
      <c r="F3489">
        <f>HYPERLINK("http://gitlab.osmosys.co/incident-reporter/incident-reporter-angular-portal/-/merge_requests/3617", "fix: client specific fixes on modules")</f>
        <v/>
      </c>
      <c r="G3489" t="inlineStr">
        <is>
          <t>fix/client-fixes</t>
        </is>
      </c>
      <c r="H3489" t="inlineStr">
        <is>
          <t>sprint-18</t>
        </is>
      </c>
      <c r="I3489" t="inlineStr">
        <is>
          <t>merged</t>
        </is>
      </c>
      <c r="J3489" t="inlineStr">
        <is>
          <t>2b25901f1e18a58f74b95c09f989ad1dbc0ea928</t>
        </is>
      </c>
      <c r="K3489">
        <f>HYPERLINK("http://gitlab.osmosys.co/incident-reporter/incident-reporter-angular-portal/-/merge_requests/3617#note_242703", "Why two duplicates labels here are using?")</f>
        <v/>
      </c>
      <c r="L3489" t="inlineStr">
        <is>
          <t>2025-07-28 10:18:26.355 IST</t>
        </is>
      </c>
      <c r="M3489" t="inlineStr">
        <is>
          <t>Soundariya B</t>
        </is>
      </c>
      <c r="N3489" t="inlineStr">
        <is>
          <t>Yes</t>
        </is>
      </c>
      <c r="O3489" t="inlineStr">
        <is>
          <t>Yes</t>
        </is>
      </c>
      <c r="P3489" t="inlineStr">
        <is>
          <t>Soundariya B</t>
        </is>
      </c>
      <c r="Q3489" t="inlineStr">
        <is>
          <t>Bad</t>
        </is>
      </c>
    </row>
    <row r="3490">
      <c r="A3490" t="inlineStr">
        <is>
          <t>vaibhav.v</t>
        </is>
      </c>
      <c r="B3490" t="inlineStr">
        <is>
          <t>Vaibhav Varun</t>
        </is>
      </c>
      <c r="C3490" t="inlineStr">
        <is>
          <t>vaibhav.v@osmosys.co</t>
        </is>
      </c>
      <c r="D3490" t="inlineStr">
        <is>
          <t>incident-reporter</t>
        </is>
      </c>
      <c r="E3490">
        <f>HYPERLINK("http://gitlab.osmosys.co/incident-reporter/incident-reporter-angular-portal", "OQSHA Portal")</f>
        <v/>
      </c>
      <c r="F3490">
        <f>HYPERLINK("http://gitlab.osmosys.co/incident-reporter/incident-reporter-angular-portal/-/merge_requests/3617", "fix: client specific fixes on modules")</f>
        <v/>
      </c>
      <c r="G3490" t="inlineStr">
        <is>
          <t>fix/client-fixes</t>
        </is>
      </c>
      <c r="H3490" t="inlineStr">
        <is>
          <t>sprint-18</t>
        </is>
      </c>
      <c r="I3490" t="inlineStr">
        <is>
          <t>merged</t>
        </is>
      </c>
      <c r="J3490" t="inlineStr">
        <is>
          <t>2b25901f1e18a58f74b95c09f989ad1dbc0ea928</t>
        </is>
      </c>
      <c r="K3490">
        <f>HYPERLINK("http://gitlab.osmosys.co/incident-reporter/incident-reporter-angular-portal/-/merge_requests/3617#note_242844", "At many places many users have used both, I am not changing at their are multiple changes, instead changed the common error message")</f>
        <v/>
      </c>
      <c r="L3490" t="inlineStr">
        <is>
          <t>2025-07-28 12:10:16.900 IST</t>
        </is>
      </c>
      <c r="M3490" t="inlineStr">
        <is>
          <t>Vaibhav Varun</t>
        </is>
      </c>
      <c r="N3490" t="inlineStr">
        <is>
          <t>No</t>
        </is>
      </c>
      <c r="O3490" t="inlineStr">
        <is>
          <t>Yes</t>
        </is>
      </c>
      <c r="P3490" t="inlineStr">
        <is>
          <t>Soundariya B</t>
        </is>
      </c>
      <c r="Q3490" t="inlineStr">
        <is>
          <t>Bad</t>
        </is>
      </c>
    </row>
    <row r="3491">
      <c r="A3491" t="inlineStr">
        <is>
          <t>vaibhav.v</t>
        </is>
      </c>
      <c r="B3491" t="inlineStr">
        <is>
          <t>Vaibhav Varun</t>
        </is>
      </c>
      <c r="C3491" t="inlineStr">
        <is>
          <t>vaibhav.v@osmosys.co</t>
        </is>
      </c>
      <c r="D3491" t="inlineStr">
        <is>
          <t>incident-reporter</t>
        </is>
      </c>
      <c r="E3491">
        <f>HYPERLINK("http://gitlab.osmosys.co/incident-reporter/incident-reporter-angular-portal", "OQSHA Portal")</f>
        <v/>
      </c>
      <c r="F3491">
        <f>HYPERLINK("http://gitlab.osmosys.co/incident-reporter/incident-reporter-angular-portal/-/merge_requests/3617", "fix: client specific fixes on modules")</f>
        <v/>
      </c>
      <c r="G3491" t="inlineStr">
        <is>
          <t>fix/client-fixes</t>
        </is>
      </c>
      <c r="H3491" t="inlineStr">
        <is>
          <t>sprint-18</t>
        </is>
      </c>
      <c r="I3491" t="inlineStr">
        <is>
          <t>merged</t>
        </is>
      </c>
      <c r="J3491" t="inlineStr">
        <is>
          <t>2b25901f1e18a58f74b95c09f989ad1dbc0ea928</t>
        </is>
      </c>
      <c r="K3491">
        <f>HYPERLINK("http://gitlab.osmosys.co/incident-reporter/incident-reporter-angular-portal/-/merge_requests/3617#note_242870", "Still this needs to fix later")</f>
        <v/>
      </c>
      <c r="L3491" t="inlineStr">
        <is>
          <t>2025-07-28 12:31:02.401 IST</t>
        </is>
      </c>
      <c r="M3491" t="inlineStr">
        <is>
          <t>Soundariya B</t>
        </is>
      </c>
      <c r="N3491" t="inlineStr">
        <is>
          <t>Yes</t>
        </is>
      </c>
      <c r="O3491" t="inlineStr">
        <is>
          <t>Yes</t>
        </is>
      </c>
      <c r="P3491" t="inlineStr">
        <is>
          <t>Soundariya B</t>
        </is>
      </c>
      <c r="Q3491" t="inlineStr">
        <is>
          <t>Bad</t>
        </is>
      </c>
    </row>
    <row r="3492">
      <c r="A3492" t="inlineStr">
        <is>
          <t>vaibhav.v</t>
        </is>
      </c>
      <c r="B3492" t="inlineStr">
        <is>
          <t>Vaibhav Varun</t>
        </is>
      </c>
      <c r="C3492" t="inlineStr">
        <is>
          <t>vaibhav.v@osmosys.co</t>
        </is>
      </c>
      <c r="D3492" t="inlineStr">
        <is>
          <t>incident-reporter</t>
        </is>
      </c>
      <c r="E3492">
        <f>HYPERLINK("http://gitlab.osmosys.co/incident-reporter/incident-reporter-angular-portal", "OQSHA Portal")</f>
        <v/>
      </c>
      <c r="F3492">
        <f>HYPERLINK("http://gitlab.osmosys.co/incident-reporter/incident-reporter-angular-portal/-/merge_requests/3617", "fix: client specific fixes on modules")</f>
        <v/>
      </c>
      <c r="G3492" t="inlineStr">
        <is>
          <t>fix/client-fixes</t>
        </is>
      </c>
      <c r="H3492" t="inlineStr">
        <is>
          <t>sprint-18</t>
        </is>
      </c>
      <c r="I3492" t="inlineStr">
        <is>
          <t>merged</t>
        </is>
      </c>
      <c r="J3492" t="inlineStr">
        <is>
          <t>bcb866eeae6a618f25fa085213431781b03eb89f</t>
        </is>
      </c>
      <c r="K3492">
        <f>HYPERLINK("http://gitlab.osmosys.co/incident-reporter/incident-reporter-angular-portal/-/merge_requests/3617#note_242704", "It should be ALERT_DEPARTMENT")</f>
        <v/>
      </c>
      <c r="L3492" t="inlineStr">
        <is>
          <t>2025-07-28 10:18:26.419 IST</t>
        </is>
      </c>
      <c r="M3492" t="inlineStr">
        <is>
          <t>Soundariya B</t>
        </is>
      </c>
      <c r="N3492" t="inlineStr">
        <is>
          <t>Yes</t>
        </is>
      </c>
      <c r="O3492" t="inlineStr">
        <is>
          <t>Yes</t>
        </is>
      </c>
      <c r="P3492" t="inlineStr">
        <is>
          <t>Soundariya B</t>
        </is>
      </c>
      <c r="Q3492" t="inlineStr">
        <is>
          <t>Neutral</t>
        </is>
      </c>
    </row>
    <row r="3493">
      <c r="A3493" t="inlineStr">
        <is>
          <t>vaibhav.v</t>
        </is>
      </c>
      <c r="B3493" t="inlineStr">
        <is>
          <t>Vaibhav Varun</t>
        </is>
      </c>
      <c r="C3493" t="inlineStr">
        <is>
          <t>vaibhav.v@osmosys.co</t>
        </is>
      </c>
      <c r="D3493" t="inlineStr">
        <is>
          <t>incident-reporter</t>
        </is>
      </c>
      <c r="E3493">
        <f>HYPERLINK("http://gitlab.osmosys.co/incident-reporter/incident-reporter-angular-portal", "OQSHA Portal")</f>
        <v/>
      </c>
      <c r="F3493">
        <f>HYPERLINK("http://gitlab.osmosys.co/incident-reporter/incident-reporter-angular-portal/-/merge_requests/3617", "fix: client specific fixes on modules")</f>
        <v/>
      </c>
      <c r="G3493" t="inlineStr">
        <is>
          <t>fix/client-fixes</t>
        </is>
      </c>
      <c r="H3493" t="inlineStr">
        <is>
          <t>sprint-18</t>
        </is>
      </c>
      <c r="I3493" t="inlineStr">
        <is>
          <t>merged</t>
        </is>
      </c>
      <c r="J3493" t="inlineStr">
        <is>
          <t>bcb866eeae6a618f25fa085213431781b03eb89f</t>
        </is>
      </c>
      <c r="K3493">
        <f>HYPERLINK("http://gitlab.osmosys.co/incident-reporter/incident-reporter-angular-portal/-/merge_requests/3617#note_242845", "Same as above need to have same key value across both files")</f>
        <v/>
      </c>
      <c r="L3493" t="inlineStr">
        <is>
          <t>2025-07-28 12:10:31.669 IST</t>
        </is>
      </c>
      <c r="M3493" t="inlineStr">
        <is>
          <t>Vaibhav Varun</t>
        </is>
      </c>
      <c r="N3493" t="inlineStr">
        <is>
          <t>No</t>
        </is>
      </c>
      <c r="O3493" t="inlineStr">
        <is>
          <t>Yes</t>
        </is>
      </c>
      <c r="P3493" t="inlineStr">
        <is>
          <t>Soundariya B</t>
        </is>
      </c>
      <c r="Q3493" t="inlineStr">
        <is>
          <t>Neutral</t>
        </is>
      </c>
    </row>
    <row r="3494">
      <c r="A3494" t="inlineStr">
        <is>
          <t>vaibhav.v</t>
        </is>
      </c>
      <c r="B3494" t="inlineStr">
        <is>
          <t>Vaibhav Varun</t>
        </is>
      </c>
      <c r="C3494" t="inlineStr">
        <is>
          <t>vaibhav.v@osmosys.co</t>
        </is>
      </c>
      <c r="D3494" t="inlineStr">
        <is>
          <t>incident-reporter</t>
        </is>
      </c>
      <c r="E3494">
        <f>HYPERLINK("http://gitlab.osmosys.co/incident-reporter/incident-reporter-angular-portal", "OQSHA Portal")</f>
        <v/>
      </c>
      <c r="F3494">
        <f>HYPERLINK("http://gitlab.osmosys.co/incident-reporter/incident-reporter-angular-portal/-/merge_requests/3617", "fix: client specific fixes on modules")</f>
        <v/>
      </c>
      <c r="G3494" t="inlineStr">
        <is>
          <t>fix/client-fixes</t>
        </is>
      </c>
      <c r="H3494" t="inlineStr">
        <is>
          <t>sprint-18</t>
        </is>
      </c>
      <c r="I3494" t="inlineStr">
        <is>
          <t>merged</t>
        </is>
      </c>
      <c r="J3494" t="inlineStr">
        <is>
          <t>bcb866eeae6a618f25fa085213431781b03eb89f</t>
        </is>
      </c>
      <c r="K3494">
        <f>HYPERLINK("http://gitlab.osmosys.co/incident-reporter/incident-reporter-angular-portal/-/merge_requests/3617#note_242871", "If you see the all label key are based on value only like select status, etc so please do it as suggested which make easy to find the label if want to change later and can able to read code that label name is Add log not add comment")</f>
        <v/>
      </c>
      <c r="L3494" t="inlineStr">
        <is>
          <t>2025-07-28 12:31:20.689 IST</t>
        </is>
      </c>
      <c r="M3494" t="inlineStr">
        <is>
          <t>Soundariya B</t>
        </is>
      </c>
      <c r="N3494" t="inlineStr">
        <is>
          <t>Yes</t>
        </is>
      </c>
      <c r="O3494" t="inlineStr">
        <is>
          <t>Yes</t>
        </is>
      </c>
      <c r="P3494" t="inlineStr">
        <is>
          <t>Soundariya B</t>
        </is>
      </c>
      <c r="Q3494" t="inlineStr">
        <is>
          <t>Neutral</t>
        </is>
      </c>
    </row>
    <row r="3495">
      <c r="A3495" t="inlineStr">
        <is>
          <t>vaibhav.v</t>
        </is>
      </c>
      <c r="B3495" t="inlineStr">
        <is>
          <t>Vaibhav Varun</t>
        </is>
      </c>
      <c r="C3495" t="inlineStr">
        <is>
          <t>vaibhav.v@osmosys.co</t>
        </is>
      </c>
      <c r="D3495" t="inlineStr">
        <is>
          <t>incident-reporter</t>
        </is>
      </c>
      <c r="E3495">
        <f>HYPERLINK("http://gitlab.osmosys.co/incident-reporter/incident-reporter-angular-portal", "OQSHA Portal")</f>
        <v/>
      </c>
      <c r="F3495">
        <f>HYPERLINK("http://gitlab.osmosys.co/incident-reporter/incident-reporter-angular-portal/-/merge_requests/3617", "fix: client specific fixes on modules")</f>
        <v/>
      </c>
      <c r="G3495" t="inlineStr">
        <is>
          <t>fix/client-fixes</t>
        </is>
      </c>
      <c r="H3495" t="inlineStr">
        <is>
          <t>sprint-18</t>
        </is>
      </c>
      <c r="I3495" t="inlineStr">
        <is>
          <t>merged</t>
        </is>
      </c>
      <c r="J3495" t="inlineStr">
        <is>
          <t>bcb866eeae6a618f25fa085213431781b03eb89f</t>
        </is>
      </c>
      <c r="K3495">
        <f>HYPERLINK("http://gitlab.osmosys.co/incident-reporter/incident-reporter-angular-portal/-/merge_requests/3617#note_242892", "Explained above.")</f>
        <v/>
      </c>
      <c r="L3495" t="inlineStr">
        <is>
          <t>2025-07-28 13:04:34.332 IST</t>
        </is>
      </c>
      <c r="M3495" t="inlineStr">
        <is>
          <t>Vaibhav Varun</t>
        </is>
      </c>
      <c r="N3495" t="inlineStr">
        <is>
          <t>No</t>
        </is>
      </c>
      <c r="O3495" t="inlineStr">
        <is>
          <t>Yes</t>
        </is>
      </c>
      <c r="P3495" t="inlineStr">
        <is>
          <t>Soundariya B</t>
        </is>
      </c>
      <c r="Q3495" t="inlineStr">
        <is>
          <t>Neutral</t>
        </is>
      </c>
    </row>
    <row r="3496">
      <c r="A3496" t="inlineStr">
        <is>
          <t>vaibhav.v</t>
        </is>
      </c>
      <c r="B3496" t="inlineStr">
        <is>
          <t>Vaibhav Varun</t>
        </is>
      </c>
      <c r="C3496" t="inlineStr">
        <is>
          <t>vaibhav.v@osmosys.co</t>
        </is>
      </c>
      <c r="D3496" t="inlineStr">
        <is>
          <t>incident-reporter</t>
        </is>
      </c>
      <c r="E3496">
        <f>HYPERLINK("http://gitlab.osmosys.co/incident-reporter/incident-reporter-angular-portal", "OQSHA Portal")</f>
        <v/>
      </c>
      <c r="F3496">
        <f>HYPERLINK("http://gitlab.osmosys.co/incident-reporter/incident-reporter-angular-portal/-/merge_requests/3617", "fix: client specific fixes on modules")</f>
        <v/>
      </c>
      <c r="G3496" t="inlineStr">
        <is>
          <t>fix/client-fixes</t>
        </is>
      </c>
      <c r="H3496" t="inlineStr">
        <is>
          <t>sprint-18</t>
        </is>
      </c>
      <c r="I3496" t="inlineStr">
        <is>
          <t>merged</t>
        </is>
      </c>
      <c r="J3496" t="inlineStr">
        <is>
          <t>c61b52c35a94130161547ba9663e80df2a651bd9</t>
        </is>
      </c>
      <c r="K3496">
        <f>HYPERLINK("http://gitlab.osmosys.co/incident-reporter/incident-reporter-angular-portal/-/merge_requests/3617#note_242705", "It should be LOGS")</f>
        <v/>
      </c>
      <c r="L3496" t="inlineStr">
        <is>
          <t>2025-07-28 10:18:26.485 IST</t>
        </is>
      </c>
      <c r="M3496" t="inlineStr">
        <is>
          <t>Soundariya B</t>
        </is>
      </c>
      <c r="N3496" t="inlineStr">
        <is>
          <t>Yes</t>
        </is>
      </c>
      <c r="O3496" t="inlineStr">
        <is>
          <t>Yes</t>
        </is>
      </c>
      <c r="P3496" t="inlineStr">
        <is>
          <t>Soundariya B</t>
        </is>
      </c>
      <c r="Q3496" t="inlineStr">
        <is>
          <t>Neutral</t>
        </is>
      </c>
    </row>
    <row r="3497">
      <c r="A3497" t="inlineStr">
        <is>
          <t>vaibhav.v</t>
        </is>
      </c>
      <c r="B3497" t="inlineStr">
        <is>
          <t>Vaibhav Varun</t>
        </is>
      </c>
      <c r="C3497" t="inlineStr">
        <is>
          <t>vaibhav.v@osmosys.co</t>
        </is>
      </c>
      <c r="D3497" t="inlineStr">
        <is>
          <t>incident-reporter</t>
        </is>
      </c>
      <c r="E3497">
        <f>HYPERLINK("http://gitlab.osmosys.co/incident-reporter/incident-reporter-angular-portal", "OQSHA Portal")</f>
        <v/>
      </c>
      <c r="F3497">
        <f>HYPERLINK("http://gitlab.osmosys.co/incident-reporter/incident-reporter-angular-portal/-/merge_requests/3617", "fix: client specific fixes on modules")</f>
        <v/>
      </c>
      <c r="G3497" t="inlineStr">
        <is>
          <t>fix/client-fixes</t>
        </is>
      </c>
      <c r="H3497" t="inlineStr">
        <is>
          <t>sprint-18</t>
        </is>
      </c>
      <c r="I3497" t="inlineStr">
        <is>
          <t>merged</t>
        </is>
      </c>
      <c r="J3497" t="inlineStr">
        <is>
          <t>c61b52c35a94130161547ba9663e80df2a651bd9</t>
        </is>
      </c>
      <c r="K3497">
        <f>HYPERLINK("http://gitlab.osmosys.co/incident-reporter/incident-reporter-angular-portal/-/merge_requests/3617#note_242846", "Same as above need to have same key value across both files")</f>
        <v/>
      </c>
      <c r="L3497" t="inlineStr">
        <is>
          <t>2025-07-28 12:10:41.312 IST</t>
        </is>
      </c>
      <c r="M3497" t="inlineStr">
        <is>
          <t>Vaibhav Varun</t>
        </is>
      </c>
      <c r="N3497" t="inlineStr">
        <is>
          <t>No</t>
        </is>
      </c>
      <c r="O3497" t="inlineStr">
        <is>
          <t>Yes</t>
        </is>
      </c>
      <c r="P3497" t="inlineStr">
        <is>
          <t>Soundariya B</t>
        </is>
      </c>
      <c r="Q3497" t="inlineStr">
        <is>
          <t>Neutral</t>
        </is>
      </c>
    </row>
    <row r="3498">
      <c r="A3498" t="inlineStr">
        <is>
          <t>vaibhav.v</t>
        </is>
      </c>
      <c r="B3498" t="inlineStr">
        <is>
          <t>Vaibhav Varun</t>
        </is>
      </c>
      <c r="C3498" t="inlineStr">
        <is>
          <t>vaibhav.v@osmosys.co</t>
        </is>
      </c>
      <c r="D3498" t="inlineStr">
        <is>
          <t>incident-reporter</t>
        </is>
      </c>
      <c r="E3498">
        <f>HYPERLINK("http://gitlab.osmosys.co/incident-reporter/incident-reporter-angular-portal", "OQSHA Portal")</f>
        <v/>
      </c>
      <c r="F3498">
        <f>HYPERLINK("http://gitlab.osmosys.co/incident-reporter/incident-reporter-angular-portal/-/merge_requests/3617", "fix: client specific fixes on modules")</f>
        <v/>
      </c>
      <c r="G3498" t="inlineStr">
        <is>
          <t>fix/client-fixes</t>
        </is>
      </c>
      <c r="H3498" t="inlineStr">
        <is>
          <t>sprint-18</t>
        </is>
      </c>
      <c r="I3498" t="inlineStr">
        <is>
          <t>merged</t>
        </is>
      </c>
      <c r="J3498" t="inlineStr">
        <is>
          <t>c61b52c35a94130161547ba9663e80df2a651bd9</t>
        </is>
      </c>
      <c r="K3498">
        <f>HYPERLINK("http://gitlab.osmosys.co/incident-reporter/incident-reporter-angular-portal/-/merge_requests/3617#note_242893", "Explained above.")</f>
        <v/>
      </c>
      <c r="L3498" t="inlineStr">
        <is>
          <t>2025-07-28 13:04:41.283 IST</t>
        </is>
      </c>
      <c r="M3498" t="inlineStr">
        <is>
          <t>Vaibhav Varun</t>
        </is>
      </c>
      <c r="N3498" t="inlineStr">
        <is>
          <t>No</t>
        </is>
      </c>
      <c r="O3498" t="inlineStr">
        <is>
          <t>Yes</t>
        </is>
      </c>
      <c r="P3498" t="inlineStr">
        <is>
          <t>Soundariya B</t>
        </is>
      </c>
      <c r="Q3498" t="inlineStr">
        <is>
          <t>Neutral</t>
        </is>
      </c>
    </row>
    <row r="3499">
      <c r="A3499" t="inlineStr">
        <is>
          <t>vaibhav.v</t>
        </is>
      </c>
      <c r="B3499" t="inlineStr">
        <is>
          <t>Vaibhav Varun</t>
        </is>
      </c>
      <c r="C3499" t="inlineStr">
        <is>
          <t>vaibhav.v@osmosys.co</t>
        </is>
      </c>
      <c r="D3499" t="inlineStr">
        <is>
          <t>incident-reporter</t>
        </is>
      </c>
      <c r="E3499">
        <f>HYPERLINK("http://gitlab.osmosys.co/incident-reporter/incident-reporter-angular-portal", "OQSHA Portal")</f>
        <v/>
      </c>
      <c r="F3499">
        <f>HYPERLINK("http://gitlab.osmosys.co/incident-reporter/incident-reporter-angular-portal/-/merge_requests/3617", "fix: client specific fixes on modules")</f>
        <v/>
      </c>
      <c r="G3499" t="inlineStr">
        <is>
          <t>fix/client-fixes</t>
        </is>
      </c>
      <c r="H3499" t="inlineStr">
        <is>
          <t>sprint-18</t>
        </is>
      </c>
      <c r="I3499" t="inlineStr">
        <is>
          <t>merged</t>
        </is>
      </c>
      <c r="J3499" t="inlineStr">
        <is>
          <t>f0962d3352d9dc973410b4ac21b031f2a645e4dc</t>
        </is>
      </c>
      <c r="K3499">
        <f>HYPERLINK("http://gitlab.osmosys.co/incident-reporter/incident-reporter-angular-portal/-/merge_requests/3617#note_242709", "http://gitlab.osmosys.co/incident-reporter/incident-reporter-app/-/merge_requests/1836#note_242675")</f>
        <v/>
      </c>
      <c r="L3499" t="inlineStr">
        <is>
          <t>2025-07-28 10:19:28.631 IST</t>
        </is>
      </c>
      <c r="M3499" t="inlineStr">
        <is>
          <t>Soundariya B</t>
        </is>
      </c>
      <c r="N3499" t="inlineStr">
        <is>
          <t>Yes</t>
        </is>
      </c>
      <c r="O3499" t="inlineStr">
        <is>
          <t>Yes</t>
        </is>
      </c>
      <c r="P3499" t="inlineStr">
        <is>
          <t>Soundariya B</t>
        </is>
      </c>
      <c r="Q3499" t="inlineStr">
        <is>
          <t>Bad</t>
        </is>
      </c>
    </row>
    <row r="3500">
      <c r="A3500" t="inlineStr">
        <is>
          <t>vaibhav.v</t>
        </is>
      </c>
      <c r="B3500" t="inlineStr">
        <is>
          <t>Vaibhav Varun</t>
        </is>
      </c>
      <c r="C3500" t="inlineStr">
        <is>
          <t>vaibhav.v@osmosys.co</t>
        </is>
      </c>
      <c r="D3500" t="inlineStr">
        <is>
          <t>incident-reporter</t>
        </is>
      </c>
      <c r="E3500">
        <f>HYPERLINK("http://gitlab.osmosys.co/incident-reporter/incident-reporter-angular-portal", "OQSHA Portal")</f>
        <v/>
      </c>
      <c r="F3500">
        <f>HYPERLINK("http://gitlab.osmosys.co/incident-reporter/incident-reporter-angular-portal/-/merge_requests/3617", "fix: client specific fixes on modules")</f>
        <v/>
      </c>
      <c r="G3500" t="inlineStr">
        <is>
          <t>fix/client-fixes</t>
        </is>
      </c>
      <c r="H3500" t="inlineStr">
        <is>
          <t>sprint-18</t>
        </is>
      </c>
      <c r="I3500" t="inlineStr">
        <is>
          <t>merged</t>
        </is>
      </c>
      <c r="J3500" t="inlineStr">
        <is>
          <t>f0962d3352d9dc973410b4ac21b031f2a645e4dc</t>
        </is>
      </c>
      <c r="K3500">
        <f>HYPERLINK("http://gitlab.osmosys.co/incident-reporter/incident-reporter-angular-portal/-/merge_requests/3617#note_242872", "No comments on this?")</f>
        <v/>
      </c>
      <c r="L3500" t="inlineStr">
        <is>
          <t>2025-07-28 12:32:21.637 IST</t>
        </is>
      </c>
      <c r="M3500" t="inlineStr">
        <is>
          <t>Soundariya B</t>
        </is>
      </c>
      <c r="N3500" t="inlineStr">
        <is>
          <t>Yes</t>
        </is>
      </c>
      <c r="O3500" t="inlineStr">
        <is>
          <t>Yes</t>
        </is>
      </c>
      <c r="P3500" t="inlineStr">
        <is>
          <t>Soundariya B</t>
        </is>
      </c>
      <c r="Q3500" t="inlineStr">
        <is>
          <t>Bad</t>
        </is>
      </c>
    </row>
    <row r="3501">
      <c r="A3501" t="inlineStr">
        <is>
          <t>vaibhav.v</t>
        </is>
      </c>
      <c r="B3501" t="inlineStr">
        <is>
          <t>Vaibhav Varun</t>
        </is>
      </c>
      <c r="C3501" t="inlineStr">
        <is>
          <t>vaibhav.v@osmosys.co</t>
        </is>
      </c>
      <c r="D3501" t="inlineStr">
        <is>
          <t>incident-reporter</t>
        </is>
      </c>
      <c r="E3501">
        <f>HYPERLINK("http://gitlab.osmosys.co/incident-reporter/incident-reporter-angular-portal", "OQSHA Portal")</f>
        <v/>
      </c>
      <c r="F3501">
        <f>HYPERLINK("http://gitlab.osmosys.co/incident-reporter/incident-reporter-angular-portal/-/merge_requests/3617", "fix: client specific fixes on modules")</f>
        <v/>
      </c>
      <c r="G3501" t="inlineStr">
        <is>
          <t>fix/client-fixes</t>
        </is>
      </c>
      <c r="H3501" t="inlineStr">
        <is>
          <t>sprint-18</t>
        </is>
      </c>
      <c r="I3501" t="inlineStr">
        <is>
          <t>merged</t>
        </is>
      </c>
      <c r="J3501" t="inlineStr">
        <is>
          <t>f0962d3352d9dc973410b4ac21b031f2a645e4dc</t>
        </is>
      </c>
      <c r="K3501">
        <f>HYPERLINK("http://gitlab.osmosys.co/incident-reporter/incident-reporter-angular-portal/-/merge_requests/3617#note_242894", "1 2 3 and 4 all are done.")</f>
        <v/>
      </c>
      <c r="L3501" t="inlineStr">
        <is>
          <t>2025-07-28 13:05:19.063 IST</t>
        </is>
      </c>
      <c r="M3501" t="inlineStr">
        <is>
          <t>Vaibhav Varun</t>
        </is>
      </c>
      <c r="N3501" t="inlineStr">
        <is>
          <t>No</t>
        </is>
      </c>
      <c r="O3501" t="inlineStr">
        <is>
          <t>Yes</t>
        </is>
      </c>
      <c r="P3501" t="inlineStr">
        <is>
          <t>Soundariya B</t>
        </is>
      </c>
      <c r="Q3501" t="inlineStr">
        <is>
          <t>Bad</t>
        </is>
      </c>
    </row>
    <row r="3502">
      <c r="A3502" t="inlineStr">
        <is>
          <t>vaibhav.v</t>
        </is>
      </c>
      <c r="B3502" t="inlineStr">
        <is>
          <t>Vaibhav Varun</t>
        </is>
      </c>
      <c r="C3502" t="inlineStr">
        <is>
          <t>vaibhav.v@osmosys.co</t>
        </is>
      </c>
      <c r="D3502" t="inlineStr">
        <is>
          <t>incident-reporter</t>
        </is>
      </c>
      <c r="E3502">
        <f>HYPERLINK("http://gitlab.osmosys.co/incident-reporter/incident-reporter-angular-portal", "OQSHA Portal")</f>
        <v/>
      </c>
      <c r="F3502">
        <f>HYPERLINK("http://gitlab.osmosys.co/incident-reporter/incident-reporter-angular-portal/-/merge_requests/3617", "fix: client specific fixes on modules")</f>
        <v/>
      </c>
      <c r="G3502" t="inlineStr">
        <is>
          <t>fix/client-fixes</t>
        </is>
      </c>
      <c r="H3502" t="inlineStr">
        <is>
          <t>sprint-18</t>
        </is>
      </c>
      <c r="I3502" t="inlineStr">
        <is>
          <t>merged</t>
        </is>
      </c>
      <c r="J3502" t="inlineStr">
        <is>
          <t>c7f0d36f40bd4d7620880187d35a3b7b2968ab89</t>
        </is>
      </c>
      <c r="K3502">
        <f>HYPERLINK("http://gitlab.osmosys.co/incident-reporter/incident-reporter-angular-portal/-/merge_requests/3617#note_242710", "http://gitlab.osmosys.co/incident-reporter/incident-reporter-app/-/merge_requests/1836#note_242661")</f>
        <v/>
      </c>
      <c r="L3502" t="inlineStr">
        <is>
          <t>2025-07-28 10:19:28.674 IST</t>
        </is>
      </c>
      <c r="M3502" t="inlineStr">
        <is>
          <t>Soundariya B</t>
        </is>
      </c>
      <c r="N3502" t="inlineStr">
        <is>
          <t>Yes</t>
        </is>
      </c>
      <c r="O3502" t="inlineStr">
        <is>
          <t>Yes</t>
        </is>
      </c>
      <c r="P3502" t="inlineStr">
        <is>
          <t>Soundariya B</t>
        </is>
      </c>
      <c r="Q3502" t="inlineStr">
        <is>
          <t>Neutral</t>
        </is>
      </c>
    </row>
    <row r="3503">
      <c r="A3503" t="inlineStr">
        <is>
          <t>vaibhav.v</t>
        </is>
      </c>
      <c r="B3503" t="inlineStr">
        <is>
          <t>Vaibhav Varun</t>
        </is>
      </c>
      <c r="C3503" t="inlineStr">
        <is>
          <t>vaibhav.v@osmosys.co</t>
        </is>
      </c>
      <c r="D3503" t="inlineStr">
        <is>
          <t>incident-reporter</t>
        </is>
      </c>
      <c r="E3503">
        <f>HYPERLINK("http://gitlab.osmosys.co/incident-reporter/incident-reporter-angular-portal", "OQSHA Portal")</f>
        <v/>
      </c>
      <c r="F3503">
        <f>HYPERLINK("http://gitlab.osmosys.co/incident-reporter/incident-reporter-angular-portal/-/merge_requests/3617", "fix: client specific fixes on modules")</f>
        <v/>
      </c>
      <c r="G3503" t="inlineStr">
        <is>
          <t>fix/client-fixes</t>
        </is>
      </c>
      <c r="H3503" t="inlineStr">
        <is>
          <t>sprint-18</t>
        </is>
      </c>
      <c r="I3503" t="inlineStr">
        <is>
          <t>merged</t>
        </is>
      </c>
      <c r="J3503" t="inlineStr">
        <is>
          <t>b7b86378c6c80dc5da86bb05b8b9a4c774ad2fa2</t>
        </is>
      </c>
      <c r="K3503">
        <f>HYPERLINK("http://gitlab.osmosys.co/incident-reporter/incident-reporter-angular-portal/-/merge_requests/3617#note_242712", "http://gitlab.osmosys.co/incident-reporter/incident-reporter-app/-/merge_requests/1836#note_242662")</f>
        <v/>
      </c>
      <c r="L3503" t="inlineStr">
        <is>
          <t>2025-07-28 10:19:28.712 IST</t>
        </is>
      </c>
      <c r="M3503" t="inlineStr">
        <is>
          <t>Soundariya B</t>
        </is>
      </c>
      <c r="N3503" t="inlineStr">
        <is>
          <t>Yes</t>
        </is>
      </c>
      <c r="O3503" t="inlineStr">
        <is>
          <t>Yes</t>
        </is>
      </c>
      <c r="P3503" t="inlineStr">
        <is>
          <t>Soundariya B</t>
        </is>
      </c>
      <c r="Q3503" t="inlineStr">
        <is>
          <t>Neutral</t>
        </is>
      </c>
    </row>
    <row r="3504">
      <c r="A3504" t="inlineStr">
        <is>
          <t>vaibhav.v</t>
        </is>
      </c>
      <c r="B3504" t="inlineStr">
        <is>
          <t>Vaibhav Varun</t>
        </is>
      </c>
      <c r="C3504" t="inlineStr">
        <is>
          <t>vaibhav.v@osmosys.co</t>
        </is>
      </c>
      <c r="D3504" t="inlineStr">
        <is>
          <t>incident-reporter</t>
        </is>
      </c>
      <c r="E3504">
        <f>HYPERLINK("http://gitlab.osmosys.co/incident-reporter/incident-reporter-angular-portal", "OQSHA Portal")</f>
        <v/>
      </c>
      <c r="F3504">
        <f>HYPERLINK("http://gitlab.osmosys.co/incident-reporter/incident-reporter-angular-portal/-/merge_requests/3617", "fix: client specific fixes on modules")</f>
        <v/>
      </c>
      <c r="G3504" t="inlineStr">
        <is>
          <t>fix/client-fixes</t>
        </is>
      </c>
      <c r="H3504" t="inlineStr">
        <is>
          <t>sprint-18</t>
        </is>
      </c>
      <c r="I3504" t="inlineStr">
        <is>
          <t>merged</t>
        </is>
      </c>
      <c r="J3504" t="inlineStr">
        <is>
          <t>93a1475218a3490c74c4f90d5534b6261d760a68</t>
        </is>
      </c>
      <c r="K3504">
        <f>HYPERLINK("http://gitlab.osmosys.co/incident-reporter/incident-reporter-angular-portal/-/merge_requests/3617#note_242888", "![image](/uploads/8e673a3dfcd9ed91a01a531126e5860a/image.png)
Please reduce the gaps btw them")</f>
        <v/>
      </c>
      <c r="L3504" t="inlineStr">
        <is>
          <t>2025-07-28 13:02:26.533 IST</t>
        </is>
      </c>
      <c r="M3504" t="inlineStr">
        <is>
          <t>Soundariya B</t>
        </is>
      </c>
      <c r="N3504" t="inlineStr">
        <is>
          <t>Yes</t>
        </is>
      </c>
      <c r="O3504" t="inlineStr">
        <is>
          <t>Yes</t>
        </is>
      </c>
      <c r="P3504" t="inlineStr">
        <is>
          <t>Soundariya B</t>
        </is>
      </c>
      <c r="Q3504" t="inlineStr">
        <is>
          <t>Bad</t>
        </is>
      </c>
    </row>
    <row r="3505">
      <c r="A3505" t="inlineStr">
        <is>
          <t>vaibhav.v</t>
        </is>
      </c>
      <c r="B3505" t="inlineStr">
        <is>
          <t>Vaibhav Varun</t>
        </is>
      </c>
      <c r="C3505" t="inlineStr">
        <is>
          <t>vaibhav.v@osmosys.co</t>
        </is>
      </c>
      <c r="D3505" t="inlineStr">
        <is>
          <t>incident-reporter</t>
        </is>
      </c>
      <c r="E3505">
        <f>HYPERLINK("http://gitlab.osmosys.co/incident-reporter/incident-reporter-angular-portal", "OQSHA Portal")</f>
        <v/>
      </c>
      <c r="F3505">
        <f>HYPERLINK("http://gitlab.osmosys.co/incident-reporter/incident-reporter-angular-portal/-/merge_requests/3617", "fix: client specific fixes on modules")</f>
        <v/>
      </c>
      <c r="G3505" t="inlineStr">
        <is>
          <t>fix/client-fixes</t>
        </is>
      </c>
      <c r="H3505" t="inlineStr">
        <is>
          <t>sprint-18</t>
        </is>
      </c>
      <c r="I3505" t="inlineStr">
        <is>
          <t>merged</t>
        </is>
      </c>
      <c r="J3505" t="inlineStr">
        <is>
          <t>93a1475218a3490c74c4f90d5534b6261d760a68</t>
        </is>
      </c>
      <c r="K3505">
        <f>HYPERLINK("http://gitlab.osmosys.co/incident-reporter/incident-reporter-angular-portal/-/merge_requests/3617#note_242944", "![image](/uploads/1d39b2d1ef040baffefb21147250325d/image.png)  
Done")</f>
        <v/>
      </c>
      <c r="L3505" t="inlineStr">
        <is>
          <t>2025-07-28 13:38:13.869 IST</t>
        </is>
      </c>
      <c r="M3505" t="inlineStr">
        <is>
          <t>Vaibhav Varun</t>
        </is>
      </c>
      <c r="N3505" t="inlineStr">
        <is>
          <t>No</t>
        </is>
      </c>
      <c r="O3505" t="inlineStr">
        <is>
          <t>Yes</t>
        </is>
      </c>
      <c r="P3505" t="inlineStr">
        <is>
          <t>Soundariya B</t>
        </is>
      </c>
      <c r="Q3505" t="inlineStr">
        <is>
          <t>Bad</t>
        </is>
      </c>
    </row>
    <row r="3506">
      <c r="A3506" t="inlineStr">
        <is>
          <t>vaibhav.v</t>
        </is>
      </c>
      <c r="B3506" t="inlineStr">
        <is>
          <t>Vaibhav Varun</t>
        </is>
      </c>
      <c r="C3506" t="inlineStr">
        <is>
          <t>vaibhav.v@osmosys.co</t>
        </is>
      </c>
      <c r="D3506" t="inlineStr">
        <is>
          <t>incident-reporter</t>
        </is>
      </c>
      <c r="E3506">
        <f>HYPERLINK("http://gitlab.osmosys.co/incident-reporter/incident-reporter-angular-portal", "OQSHA Portal")</f>
        <v/>
      </c>
      <c r="F3506">
        <f>HYPERLINK("http://gitlab.osmosys.co/incident-reporter/incident-reporter-angular-portal/-/merge_requests/3617", "fix: client specific fixes on modules")</f>
        <v/>
      </c>
      <c r="G3506" t="inlineStr">
        <is>
          <t>fix/client-fixes</t>
        </is>
      </c>
      <c r="H3506" t="inlineStr">
        <is>
          <t>sprint-18</t>
        </is>
      </c>
      <c r="I3506" t="inlineStr">
        <is>
          <t>merged</t>
        </is>
      </c>
      <c r="J3506" t="inlineStr">
        <is>
          <t>7eae668bd434b45412d77403a818892fc588f333</t>
        </is>
      </c>
      <c r="K3506">
        <f>HYPERLINK("http://gitlab.osmosys.co/incident-reporter/incident-reporter-angular-portal/-/merge_requests/3617#note_242889", "![image](/uploads/f691dc587828e5f384a942fc0bafe3d8/image.png)
It should be UID instead of Id")</f>
        <v/>
      </c>
      <c r="L3506" t="inlineStr">
        <is>
          <t>2025-07-28 13:02:26.560 IST</t>
        </is>
      </c>
      <c r="M3506" t="inlineStr">
        <is>
          <t>Soundariya B</t>
        </is>
      </c>
      <c r="N3506" t="inlineStr">
        <is>
          <t>Yes</t>
        </is>
      </c>
      <c r="O3506" t="inlineStr">
        <is>
          <t>Yes</t>
        </is>
      </c>
      <c r="P3506" t="inlineStr">
        <is>
          <t>Soundariya B</t>
        </is>
      </c>
      <c r="Q3506" t="inlineStr">
        <is>
          <t>Neutral</t>
        </is>
      </c>
    </row>
    <row r="3507">
      <c r="A3507" t="inlineStr">
        <is>
          <t>vaibhav.v</t>
        </is>
      </c>
      <c r="B3507" t="inlineStr">
        <is>
          <t>Vaibhav Varun</t>
        </is>
      </c>
      <c r="C3507" t="inlineStr">
        <is>
          <t>vaibhav.v@osmosys.co</t>
        </is>
      </c>
      <c r="D3507" t="inlineStr">
        <is>
          <t>incident-reporter</t>
        </is>
      </c>
      <c r="E3507">
        <f>HYPERLINK("http://gitlab.osmosys.co/incident-reporter/incident-reporter-angular-portal", "OQSHA Portal")</f>
        <v/>
      </c>
      <c r="F3507">
        <f>HYPERLINK("http://gitlab.osmosys.co/incident-reporter/incident-reporter-angular-portal/-/merge_requests/3617", "fix: client specific fixes on modules")</f>
        <v/>
      </c>
      <c r="G3507" t="inlineStr">
        <is>
          <t>fix/client-fixes</t>
        </is>
      </c>
      <c r="H3507" t="inlineStr">
        <is>
          <t>sprint-18</t>
        </is>
      </c>
      <c r="I3507" t="inlineStr">
        <is>
          <t>merged</t>
        </is>
      </c>
      <c r="J3507" t="inlineStr">
        <is>
          <t>7eae668bd434b45412d77403a818892fc588f333</t>
        </is>
      </c>
      <c r="K3507">
        <f>HYPERLINK("http://gitlab.osmosys.co/incident-reporter/incident-reporter-angular-portal/-/merge_requests/3617#note_242942", "I am not changing this before taking confirmation from Raj, he renamed it like this")</f>
        <v/>
      </c>
      <c r="L3507" t="inlineStr">
        <is>
          <t>2025-07-28 13:35:43.960 IST</t>
        </is>
      </c>
      <c r="M3507" t="inlineStr">
        <is>
          <t>Vaibhav Varun</t>
        </is>
      </c>
      <c r="N3507" t="inlineStr">
        <is>
          <t>No</t>
        </is>
      </c>
      <c r="O3507" t="inlineStr">
        <is>
          <t>Yes</t>
        </is>
      </c>
      <c r="P3507" t="inlineStr">
        <is>
          <t>Soundariya B</t>
        </is>
      </c>
      <c r="Q3507" t="inlineStr">
        <is>
          <t>Neutral</t>
        </is>
      </c>
    </row>
    <row r="3508">
      <c r="A3508" t="inlineStr">
        <is>
          <t>vaibhav.v</t>
        </is>
      </c>
      <c r="B3508" t="inlineStr">
        <is>
          <t>Vaibhav Varun</t>
        </is>
      </c>
      <c r="C3508" t="inlineStr">
        <is>
          <t>vaibhav.v@osmosys.co</t>
        </is>
      </c>
      <c r="D3508" t="inlineStr">
        <is>
          <t>incident-reporter</t>
        </is>
      </c>
      <c r="E3508">
        <f>HYPERLINK("http://gitlab.osmosys.co/incident-reporter/incident-reporter-angular-portal", "OQSHA Portal")</f>
        <v/>
      </c>
      <c r="F3508">
        <f>HYPERLINK("http://gitlab.osmosys.co/incident-reporter/incident-reporter-angular-portal/-/merge_requests/3617", "fix: client specific fixes on modules")</f>
        <v/>
      </c>
      <c r="G3508" t="inlineStr">
        <is>
          <t>fix/client-fixes</t>
        </is>
      </c>
      <c r="H3508" t="inlineStr">
        <is>
          <t>sprint-18</t>
        </is>
      </c>
      <c r="I3508" t="inlineStr">
        <is>
          <t>merged</t>
        </is>
      </c>
      <c r="J3508" t="inlineStr">
        <is>
          <t>565992492def604fec48866d33500225a942d2ef</t>
        </is>
      </c>
      <c r="K3508">
        <f>HYPERLINK("http://gitlab.osmosys.co/incident-reporter/incident-reporter-angular-portal/-/merge_requests/3617#note_242896", "pipeline failure")</f>
        <v/>
      </c>
      <c r="L3508" t="inlineStr">
        <is>
          <t>2025-07-28 13:06:22.003 IST</t>
        </is>
      </c>
      <c r="M3508" t="inlineStr">
        <is>
          <t>Soundariya B</t>
        </is>
      </c>
      <c r="N3508" t="inlineStr">
        <is>
          <t>Yes</t>
        </is>
      </c>
      <c r="O3508" t="inlineStr">
        <is>
          <t>Yes</t>
        </is>
      </c>
      <c r="P3508" t="inlineStr">
        <is>
          <t>Soundariya B</t>
        </is>
      </c>
      <c r="Q3508" t="inlineStr">
        <is>
          <t>Bad</t>
        </is>
      </c>
    </row>
    <row r="3509">
      <c r="A3509" t="inlineStr">
        <is>
          <t>vaibhav.v</t>
        </is>
      </c>
      <c r="B3509" t="inlineStr">
        <is>
          <t>Vaibhav Varun</t>
        </is>
      </c>
      <c r="C3509" t="inlineStr">
        <is>
          <t>vaibhav.v@osmosys.co</t>
        </is>
      </c>
      <c r="D3509" t="inlineStr">
        <is>
          <t>incident-reporter</t>
        </is>
      </c>
      <c r="E3509">
        <f>HYPERLINK("http://gitlab.osmosys.co/incident-reporter/incident-reporter-angular-portal", "OQSHA Portal")</f>
        <v/>
      </c>
      <c r="F3509">
        <f>HYPERLINK("http://gitlab.osmosys.co/incident-reporter/incident-reporter-angular-portal/-/merge_requests/3617", "fix: client specific fixes on modules")</f>
        <v/>
      </c>
      <c r="G3509" t="inlineStr">
        <is>
          <t>fix/client-fixes</t>
        </is>
      </c>
      <c r="H3509" t="inlineStr">
        <is>
          <t>sprint-18</t>
        </is>
      </c>
      <c r="I3509" t="inlineStr">
        <is>
          <t>merged</t>
        </is>
      </c>
      <c r="J3509" t="inlineStr">
        <is>
          <t>565992492def604fec48866d33500225a942d2ef</t>
        </is>
      </c>
      <c r="K3509">
        <f>HYPERLINK("http://gitlab.osmosys.co/incident-reporter/incident-reporter-angular-portal/-/merge_requests/3617#note_242943", "Fixed")</f>
        <v/>
      </c>
      <c r="L3509" t="inlineStr">
        <is>
          <t>2025-07-28 13:36:11.754 IST</t>
        </is>
      </c>
      <c r="M3509" t="inlineStr">
        <is>
          <t>Vaibhav Varun</t>
        </is>
      </c>
      <c r="N3509" t="inlineStr">
        <is>
          <t>No</t>
        </is>
      </c>
      <c r="O3509" t="inlineStr">
        <is>
          <t>Yes</t>
        </is>
      </c>
      <c r="P3509" t="inlineStr">
        <is>
          <t>Soundariya B</t>
        </is>
      </c>
      <c r="Q3509" t="inlineStr">
        <is>
          <t>Bad</t>
        </is>
      </c>
    </row>
    <row r="3510">
      <c r="A3510" t="inlineStr">
        <is>
          <t>vaibhav.v</t>
        </is>
      </c>
      <c r="B3510" t="inlineStr">
        <is>
          <t>Vaibhav Varun</t>
        </is>
      </c>
      <c r="C3510" t="inlineStr">
        <is>
          <t>vaibhav.v@osmosys.co</t>
        </is>
      </c>
      <c r="D3510" t="inlineStr">
        <is>
          <t>incident-reporter</t>
        </is>
      </c>
      <c r="E3510">
        <f>HYPERLINK("http://gitlab.osmosys.co/incident-reporter/incident-reporter-angular-portal", "OQSHA Portal")</f>
        <v/>
      </c>
      <c r="F3510">
        <f>HYPERLINK("http://gitlab.osmosys.co/incident-reporter/incident-reporter-angular-portal/-/merge_requests/3605", "fix: fix placeholder")</f>
        <v/>
      </c>
      <c r="G3510" t="inlineStr">
        <is>
          <t>fix/fix-placeholder</t>
        </is>
      </c>
      <c r="H3510" t="inlineStr">
        <is>
          <t>sprint-18</t>
        </is>
      </c>
      <c r="I3510" t="inlineStr">
        <is>
          <t>merged</t>
        </is>
      </c>
      <c r="J3510" t="inlineStr"/>
      <c r="K3510" t="inlineStr"/>
      <c r="L3510" t="inlineStr"/>
      <c r="M3510" t="inlineStr"/>
      <c r="N3510" t="inlineStr"/>
      <c r="O3510" t="inlineStr"/>
      <c r="P3510" t="inlineStr"/>
      <c r="Q3510" t="inlineStr"/>
    </row>
    <row r="3511">
      <c r="A3511" t="inlineStr">
        <is>
          <t>vaibhav.v</t>
        </is>
      </c>
      <c r="B3511" t="inlineStr">
        <is>
          <t>Vaibhav Varun</t>
        </is>
      </c>
      <c r="C3511" t="inlineStr">
        <is>
          <t>vaibhav.v@osmosys.co</t>
        </is>
      </c>
      <c r="D3511" t="inlineStr">
        <is>
          <t>incident-reporter</t>
        </is>
      </c>
      <c r="E3511">
        <f>HYPERLINK("http://gitlab.osmosys.co/incident-reporter/incident-reporter-angular-portal", "OQSHA Portal")</f>
        <v/>
      </c>
      <c r="F3511">
        <f>HYPERLINK("http://gitlab.osmosys.co/incident-reporter/incident-reporter-angular-portal/-/merge_requests/3604", "feat: add condition on ptw copy")</f>
        <v/>
      </c>
      <c r="G3511" t="inlineStr">
        <is>
          <t>feat/allow-ptw-copy</t>
        </is>
      </c>
      <c r="H3511" t="inlineStr">
        <is>
          <t>sprint-18</t>
        </is>
      </c>
      <c r="I3511" t="inlineStr">
        <is>
          <t>merged</t>
        </is>
      </c>
      <c r="J3511" t="inlineStr"/>
      <c r="K3511" t="inlineStr"/>
      <c r="L3511" t="inlineStr"/>
      <c r="M3511" t="inlineStr"/>
      <c r="N3511" t="inlineStr"/>
      <c r="O3511" t="inlineStr"/>
      <c r="P3511" t="inlineStr"/>
      <c r="Q3511" t="inlineStr"/>
    </row>
    <row r="3512">
      <c r="A3512" t="inlineStr">
        <is>
          <t>vaibhav.v</t>
        </is>
      </c>
      <c r="B3512" t="inlineStr">
        <is>
          <t>Vaibhav Varun</t>
        </is>
      </c>
      <c r="C3512" t="inlineStr">
        <is>
          <t>vaibhav.v@osmosys.co</t>
        </is>
      </c>
      <c r="D3512" t="inlineStr">
        <is>
          <t>incident-reporter</t>
        </is>
      </c>
      <c r="E3512">
        <f>HYPERLINK("http://gitlab.osmosys.co/incident-reporter/incident-reporter-angular-portal", "OQSHA Portal")</f>
        <v/>
      </c>
      <c r="F3512">
        <f>HYPERLINK("http://gitlab.osmosys.co/incident-reporter/incident-reporter-angular-portal/-/merge_requests/3590", "fix: department disable remove")</f>
        <v/>
      </c>
      <c r="G3512" t="inlineStr">
        <is>
          <t>fix/fix-department</t>
        </is>
      </c>
      <c r="H3512" t="inlineStr">
        <is>
          <t>sprint-17</t>
        </is>
      </c>
      <c r="I3512" t="inlineStr">
        <is>
          <t>merged</t>
        </is>
      </c>
      <c r="J3512" t="inlineStr"/>
      <c r="K3512" t="inlineStr"/>
      <c r="L3512" t="inlineStr"/>
      <c r="M3512" t="inlineStr"/>
      <c r="N3512" t="inlineStr"/>
      <c r="O3512" t="inlineStr"/>
      <c r="P3512" t="inlineStr"/>
      <c r="Q3512" t="inlineStr"/>
    </row>
    <row r="3513">
      <c r="A3513" t="inlineStr">
        <is>
          <t>vaibhav.v</t>
        </is>
      </c>
      <c r="B3513" t="inlineStr">
        <is>
          <t>Vaibhav Varun</t>
        </is>
      </c>
      <c r="C3513" t="inlineStr">
        <is>
          <t>vaibhav.v@osmosys.co</t>
        </is>
      </c>
      <c r="D3513" t="inlineStr">
        <is>
          <t>incident-reporter</t>
        </is>
      </c>
      <c r="E3513">
        <f>HYPERLINK("http://gitlab.osmosys.co/incident-reporter/incident-reporter-angular-portal", "OQSHA Portal")</f>
        <v/>
      </c>
      <c r="F3513">
        <f>HYPERLINK("http://gitlab.osmosys.co/incident-reporter/incident-reporter-angular-portal/-/merge_requests/3567", "fix: fix moc toastr message")</f>
        <v/>
      </c>
      <c r="G3513" t="inlineStr">
        <is>
          <t>fix/fix-toastr</t>
        </is>
      </c>
      <c r="H3513" t="inlineStr">
        <is>
          <t>sprint-17</t>
        </is>
      </c>
      <c r="I3513" t="inlineStr">
        <is>
          <t>merged</t>
        </is>
      </c>
      <c r="J3513" t="inlineStr"/>
      <c r="K3513" t="inlineStr"/>
      <c r="L3513" t="inlineStr"/>
      <c r="M3513" t="inlineStr"/>
      <c r="N3513" t="inlineStr"/>
      <c r="O3513" t="inlineStr"/>
      <c r="P3513" t="inlineStr"/>
      <c r="Q3513" t="inlineStr"/>
    </row>
    <row r="3514">
      <c r="A3514" t="inlineStr">
        <is>
          <t>vaibhav.v</t>
        </is>
      </c>
      <c r="B3514" t="inlineStr">
        <is>
          <t>Vaibhav Varun</t>
        </is>
      </c>
      <c r="C3514" t="inlineStr">
        <is>
          <t>vaibhav.v@osmosys.co</t>
        </is>
      </c>
      <c r="D3514" t="inlineStr">
        <is>
          <t>incident-reporter</t>
        </is>
      </c>
      <c r="E3514">
        <f>HYPERLINK("http://gitlab.osmosys.co/incident-reporter/incident-reporter-angular-portal", "OQSHA Portal")</f>
        <v/>
      </c>
      <c r="F3514">
        <f>HYPERLINK("http://gitlab.osmosys.co/incident-reporter/incident-reporter-angular-portal/-/merge_requests/3557", "Feat/add moc signature")</f>
        <v/>
      </c>
      <c r="G3514" t="inlineStr">
        <is>
          <t>feat/add-moc-signature</t>
        </is>
      </c>
      <c r="H3514" t="inlineStr">
        <is>
          <t>sprint-17</t>
        </is>
      </c>
      <c r="I3514" t="inlineStr">
        <is>
          <t>closed</t>
        </is>
      </c>
      <c r="J3514" t="inlineStr"/>
      <c r="K3514" t="inlineStr"/>
      <c r="L3514" t="inlineStr"/>
      <c r="M3514" t="inlineStr"/>
      <c r="N3514" t="inlineStr"/>
      <c r="O3514" t="inlineStr"/>
      <c r="P3514" t="inlineStr"/>
      <c r="Q3514" t="inlineStr"/>
    </row>
    <row r="3515">
      <c r="A3515" t="inlineStr">
        <is>
          <t>vaibhav.v</t>
        </is>
      </c>
      <c r="B3515" t="inlineStr">
        <is>
          <t>Vaibhav Varun</t>
        </is>
      </c>
      <c r="C3515" t="inlineStr">
        <is>
          <t>vaibhav.v@osmosys.co</t>
        </is>
      </c>
      <c r="D3515" t="inlineStr">
        <is>
          <t>incident-reporter</t>
        </is>
      </c>
      <c r="E3515">
        <f>HYPERLINK("http://gitlab.osmosys.co/incident-reporter/incident-reporter-angular-portal", "OQSHA Portal")</f>
        <v/>
      </c>
      <c r="F3515">
        <f>HYPERLINK("http://gitlab.osmosys.co/incident-reporter/incident-reporter-angular-portal/-/merge_requests/3510", "fix: fix dropdown scroll")</f>
        <v/>
      </c>
      <c r="G3515" t="inlineStr">
        <is>
          <t>fix/fix-dropdown</t>
        </is>
      </c>
      <c r="H3515" t="inlineStr">
        <is>
          <t>sprint-17</t>
        </is>
      </c>
      <c r="I3515" t="inlineStr">
        <is>
          <t>merged</t>
        </is>
      </c>
      <c r="J3515" t="inlineStr"/>
      <c r="K3515" t="inlineStr"/>
      <c r="L3515" t="inlineStr"/>
      <c r="M3515" t="inlineStr"/>
      <c r="N3515" t="inlineStr"/>
      <c r="O3515" t="inlineStr"/>
      <c r="P3515" t="inlineStr"/>
      <c r="Q3515" t="inlineStr"/>
    </row>
    <row r="3516">
      <c r="A3516" t="inlineStr">
        <is>
          <t>vaibhav.v</t>
        </is>
      </c>
      <c r="B3516" t="inlineStr">
        <is>
          <t>Vaibhav Varun</t>
        </is>
      </c>
      <c r="C3516" t="inlineStr">
        <is>
          <t>vaibhav.v@osmosys.co</t>
        </is>
      </c>
      <c r="D3516" t="inlineStr">
        <is>
          <t>incident-reporter</t>
        </is>
      </c>
      <c r="E3516">
        <f>HYPERLINK("http://gitlab.osmosys.co/incident-reporter/incident-reporter-angular-portal", "OQSHA Portal")</f>
        <v/>
      </c>
      <c r="F3516">
        <f>HYPERLINK("http://gitlab.osmosys.co/incident-reporter/incident-reporter-angular-portal/-/merge_requests/3500", "fix: fix due date")</f>
        <v/>
      </c>
      <c r="G3516" t="inlineStr">
        <is>
          <t>fix/fix-due-date</t>
        </is>
      </c>
      <c r="H3516" t="inlineStr">
        <is>
          <t>sprint-17</t>
        </is>
      </c>
      <c r="I3516" t="inlineStr">
        <is>
          <t>merged</t>
        </is>
      </c>
      <c r="J3516" t="inlineStr"/>
      <c r="K3516" t="inlineStr"/>
      <c r="L3516" t="inlineStr"/>
      <c r="M3516" t="inlineStr"/>
      <c r="N3516" t="inlineStr"/>
      <c r="O3516" t="inlineStr"/>
      <c r="P3516" t="inlineStr"/>
      <c r="Q3516" t="inlineStr"/>
    </row>
    <row r="3517">
      <c r="A3517" t="inlineStr">
        <is>
          <t>vaibhav.v</t>
        </is>
      </c>
      <c r="B3517" t="inlineStr">
        <is>
          <t>Vaibhav Varun</t>
        </is>
      </c>
      <c r="C3517" t="inlineStr">
        <is>
          <t>vaibhav.v@osmosys.co</t>
        </is>
      </c>
      <c r="D3517" t="inlineStr">
        <is>
          <t>incident-reporter</t>
        </is>
      </c>
      <c r="E3517">
        <f>HYPERLINK("http://gitlab.osmosys.co/incident-reporter/incident-reporter-angular-portal", "OQSHA Portal")</f>
        <v/>
      </c>
      <c r="F3517">
        <f>HYPERLINK("http://gitlab.osmosys.co/incident-reporter/incident-reporter-angular-portal/-/merge_requests/3496", "fix: fix task date")</f>
        <v/>
      </c>
      <c r="G3517" t="inlineStr">
        <is>
          <t>fix/task-date</t>
        </is>
      </c>
      <c r="H3517" t="inlineStr">
        <is>
          <t>sprint-17</t>
        </is>
      </c>
      <c r="I3517" t="inlineStr">
        <is>
          <t>merged</t>
        </is>
      </c>
      <c r="J3517" t="inlineStr"/>
      <c r="K3517" t="inlineStr"/>
      <c r="L3517" t="inlineStr"/>
      <c r="M3517" t="inlineStr"/>
      <c r="N3517" t="inlineStr"/>
      <c r="O3517" t="inlineStr"/>
      <c r="P3517" t="inlineStr"/>
      <c r="Q3517" t="inlineStr"/>
    </row>
    <row r="3518">
      <c r="A3518" t="inlineStr">
        <is>
          <t>vaibhav.v</t>
        </is>
      </c>
      <c r="B3518" t="inlineStr">
        <is>
          <t>Vaibhav Varun</t>
        </is>
      </c>
      <c r="C3518" t="inlineStr">
        <is>
          <t>vaibhav.v@osmosys.co</t>
        </is>
      </c>
      <c r="D3518" t="inlineStr">
        <is>
          <t>incident-reporter</t>
        </is>
      </c>
      <c r="E3518">
        <f>HYPERLINK("http://gitlab.osmosys.co/incident-reporter/incident-reporter-angular-portal", "OQSHA Portal")</f>
        <v/>
      </c>
      <c r="F3518">
        <f>HYPERLINK("http://gitlab.osmosys.co/incident-reporter/incident-reporter-angular-portal/-/merge_requests/3491", "fix: change department to get")</f>
        <v/>
      </c>
      <c r="G3518" t="inlineStr">
        <is>
          <t>fix/get-department</t>
        </is>
      </c>
      <c r="H3518" t="inlineStr">
        <is>
          <t>sprint-17</t>
        </is>
      </c>
      <c r="I3518" t="inlineStr">
        <is>
          <t>merged</t>
        </is>
      </c>
      <c r="J3518" t="inlineStr">
        <is>
          <t>113cc9dece48e5db14219a605a084fa1de55658f</t>
        </is>
      </c>
      <c r="K3518">
        <f>HYPERLINK("http://gitlab.osmosys.co/incident-reporter/incident-reporter-angular-portal/-/merge_requests/3491#note_238443", "* Please get the api method from respective component service itself not from other services and do the api change from post to get in that service only and use it
* Use the meaning full variable name - x doesn't make sense
**This thread applies same in all other places**")</f>
        <v/>
      </c>
      <c r="L3518" t="inlineStr">
        <is>
          <t>2025-07-17 16:10:17.789 IST</t>
        </is>
      </c>
      <c r="M3518" t="inlineStr">
        <is>
          <t>Soundariya B</t>
        </is>
      </c>
      <c r="N3518" t="inlineStr">
        <is>
          <t>Yes</t>
        </is>
      </c>
      <c r="O3518" t="inlineStr">
        <is>
          <t>Yes</t>
        </is>
      </c>
      <c r="P3518" t="inlineStr">
        <is>
          <t>Soundariya B</t>
        </is>
      </c>
      <c r="Q3518" t="inlineStr">
        <is>
          <t>Bad</t>
        </is>
      </c>
    </row>
    <row r="3519">
      <c r="A3519" t="inlineStr">
        <is>
          <t>vaibhav.v</t>
        </is>
      </c>
      <c r="B3519" t="inlineStr">
        <is>
          <t>Vaibhav Varun</t>
        </is>
      </c>
      <c r="C3519" t="inlineStr">
        <is>
          <t>vaibhav.v@osmosys.co</t>
        </is>
      </c>
      <c r="D3519" t="inlineStr">
        <is>
          <t>incident-reporter</t>
        </is>
      </c>
      <c r="E3519">
        <f>HYPERLINK("http://gitlab.osmosys.co/incident-reporter/incident-reporter-angular-portal", "OQSHA Portal")</f>
        <v/>
      </c>
      <c r="F3519">
        <f>HYPERLINK("http://gitlab.osmosys.co/incident-reporter/incident-reporter-angular-portal/-/merge_requests/3491", "fix: change department to get")</f>
        <v/>
      </c>
      <c r="G3519" t="inlineStr">
        <is>
          <t>fix/get-department</t>
        </is>
      </c>
      <c r="H3519" t="inlineStr">
        <is>
          <t>sprint-17</t>
        </is>
      </c>
      <c r="I3519" t="inlineStr">
        <is>
          <t>merged</t>
        </is>
      </c>
      <c r="J3519" t="inlineStr">
        <is>
          <t>113cc9dece48e5db14219a605a084fa1de55658f</t>
        </is>
      </c>
      <c r="K3519">
        <f>HYPERLINK("http://gitlab.osmosys.co/incident-reporter/incident-reporter-angular-portal/-/merge_requests/3491#note_238475", "done")</f>
        <v/>
      </c>
      <c r="L3519" t="inlineStr">
        <is>
          <t>2025-07-17 16:36:26.724 IST</t>
        </is>
      </c>
      <c r="M3519" t="inlineStr">
        <is>
          <t>Vaibhav Varun</t>
        </is>
      </c>
      <c r="N3519" t="inlineStr">
        <is>
          <t>No</t>
        </is>
      </c>
      <c r="O3519" t="inlineStr">
        <is>
          <t>Yes</t>
        </is>
      </c>
      <c r="P3519" t="inlineStr">
        <is>
          <t>Soundariya B</t>
        </is>
      </c>
      <c r="Q3519" t="inlineStr">
        <is>
          <t>Bad</t>
        </is>
      </c>
    </row>
    <row r="3520">
      <c r="A3520" t="inlineStr">
        <is>
          <t>vaibhav.v</t>
        </is>
      </c>
      <c r="B3520" t="inlineStr">
        <is>
          <t>Vaibhav Varun</t>
        </is>
      </c>
      <c r="C3520" t="inlineStr">
        <is>
          <t>vaibhav.v@osmosys.co</t>
        </is>
      </c>
      <c r="D3520" t="inlineStr">
        <is>
          <t>incident-reporter</t>
        </is>
      </c>
      <c r="E3520">
        <f>HYPERLINK("http://gitlab.osmosys.co/incident-reporter/incident-reporter-angular-portal", "OQSHA Portal")</f>
        <v/>
      </c>
      <c r="F3520">
        <f>HYPERLINK("http://gitlab.osmosys.co/incident-reporter/incident-reporter-angular-portal/-/merge_requests/3491", "fix: change department to get")</f>
        <v/>
      </c>
      <c r="G3520" t="inlineStr">
        <is>
          <t>fix/get-department</t>
        </is>
      </c>
      <c r="H3520" t="inlineStr">
        <is>
          <t>sprint-17</t>
        </is>
      </c>
      <c r="I3520" t="inlineStr">
        <is>
          <t>merged</t>
        </is>
      </c>
      <c r="J3520" t="inlineStr">
        <is>
          <t>113cc9dece48e5db14219a605a084fa1de55658f</t>
        </is>
      </c>
      <c r="K3520">
        <f>HYPERLINK("http://gitlab.osmosys.co/incident-reporter/incident-reporter-angular-portal/-/merge_requests/3491#note_238502", "For the first point - As got confirm with Raj that should be fix it later so for now its ok
![image.png](/uploads/82f49f11b00707a2cb93ba59d96e3ca2/image.png)")</f>
        <v/>
      </c>
      <c r="L3520" t="inlineStr">
        <is>
          <t>2025-07-17 16:53:21.268 IST</t>
        </is>
      </c>
      <c r="M3520" t="inlineStr">
        <is>
          <t>Soundariya B</t>
        </is>
      </c>
      <c r="N3520" t="inlineStr">
        <is>
          <t>Yes</t>
        </is>
      </c>
      <c r="O3520" t="inlineStr">
        <is>
          <t>Yes</t>
        </is>
      </c>
      <c r="P3520" t="inlineStr">
        <is>
          <t>Soundariya B</t>
        </is>
      </c>
      <c r="Q3520" t="inlineStr">
        <is>
          <t>Bad</t>
        </is>
      </c>
    </row>
    <row r="3521">
      <c r="A3521" t="inlineStr">
        <is>
          <t>vaibhav.v</t>
        </is>
      </c>
      <c r="B3521" t="inlineStr">
        <is>
          <t>Vaibhav Varun</t>
        </is>
      </c>
      <c r="C3521" t="inlineStr">
        <is>
          <t>vaibhav.v@osmosys.co</t>
        </is>
      </c>
      <c r="D3521" t="inlineStr">
        <is>
          <t>incident-reporter</t>
        </is>
      </c>
      <c r="E3521">
        <f>HYPERLINK("http://gitlab.osmosys.co/incident-reporter/incident-reporter-angular-portal", "OQSHA Portal")</f>
        <v/>
      </c>
      <c r="F3521">
        <f>HYPERLINK("http://gitlab.osmosys.co/incident-reporter/incident-reporter-angular-portal/-/merge_requests/3491", "fix: change department to get")</f>
        <v/>
      </c>
      <c r="G3521" t="inlineStr">
        <is>
          <t>fix/get-department</t>
        </is>
      </c>
      <c r="H3521" t="inlineStr">
        <is>
          <t>sprint-17</t>
        </is>
      </c>
      <c r="I3521" t="inlineStr">
        <is>
          <t>merged</t>
        </is>
      </c>
      <c r="J3521" t="inlineStr">
        <is>
          <t>4832dbe99d1dd365dd1e0ab80a0494143fb17262</t>
        </is>
      </c>
      <c r="K3521">
        <f>HYPERLINK("http://gitlab.osmosys.co/incident-reporter/incident-reporter-angular-portal/-/merge_requests/3491#note_238445", "Test cases are not match with the changes please update it")</f>
        <v/>
      </c>
      <c r="L3521" t="inlineStr">
        <is>
          <t>2025-07-17 16:11:26.079 IST</t>
        </is>
      </c>
      <c r="M3521" t="inlineStr">
        <is>
          <t>Soundariya B</t>
        </is>
      </c>
      <c r="N3521" t="inlineStr">
        <is>
          <t>Yes</t>
        </is>
      </c>
      <c r="O3521" t="inlineStr">
        <is>
          <t>Yes</t>
        </is>
      </c>
      <c r="P3521" t="inlineStr">
        <is>
          <t>Soundariya B</t>
        </is>
      </c>
      <c r="Q3521" t="inlineStr">
        <is>
          <t>Bad</t>
        </is>
      </c>
    </row>
    <row r="3522">
      <c r="A3522" t="inlineStr">
        <is>
          <t>vaibhav.v</t>
        </is>
      </c>
      <c r="B3522" t="inlineStr">
        <is>
          <t>Vaibhav Varun</t>
        </is>
      </c>
      <c r="C3522" t="inlineStr">
        <is>
          <t>vaibhav.v@osmosys.co</t>
        </is>
      </c>
      <c r="D3522" t="inlineStr">
        <is>
          <t>incident-reporter</t>
        </is>
      </c>
      <c r="E3522">
        <f>HYPERLINK("http://gitlab.osmosys.co/incident-reporter/incident-reporter-angular-portal", "OQSHA Portal")</f>
        <v/>
      </c>
      <c r="F3522">
        <f>HYPERLINK("http://gitlab.osmosys.co/incident-reporter/incident-reporter-angular-portal/-/merge_requests/3491", "fix: change department to get")</f>
        <v/>
      </c>
      <c r="G3522" t="inlineStr">
        <is>
          <t>fix/get-department</t>
        </is>
      </c>
      <c r="H3522" t="inlineStr">
        <is>
          <t>sprint-17</t>
        </is>
      </c>
      <c r="I3522" t="inlineStr">
        <is>
          <t>merged</t>
        </is>
      </c>
      <c r="J3522" t="inlineStr">
        <is>
          <t>4832dbe99d1dd365dd1e0ab80a0494143fb17262</t>
        </is>
      </c>
      <c r="K3522">
        <f>HYPERLINK("http://gitlab.osmosys.co/incident-reporter/incident-reporter-angular-portal/-/merge_requests/3491#note_238476", "done")</f>
        <v/>
      </c>
      <c r="L3522" t="inlineStr">
        <is>
          <t>2025-07-17 16:36:31.602 IST</t>
        </is>
      </c>
      <c r="M3522" t="inlineStr">
        <is>
          <t>Vaibhav Varun</t>
        </is>
      </c>
      <c r="N3522" t="inlineStr">
        <is>
          <t>No</t>
        </is>
      </c>
      <c r="O3522" t="inlineStr">
        <is>
          <t>Yes</t>
        </is>
      </c>
      <c r="P3522" t="inlineStr">
        <is>
          <t>Soundariya B</t>
        </is>
      </c>
      <c r="Q3522" t="inlineStr">
        <is>
          <t>Bad</t>
        </is>
      </c>
    </row>
    <row r="3523">
      <c r="A3523" t="inlineStr">
        <is>
          <t>vaibhav.v</t>
        </is>
      </c>
      <c r="B3523" t="inlineStr">
        <is>
          <t>Vaibhav Varun</t>
        </is>
      </c>
      <c r="C3523" t="inlineStr">
        <is>
          <t>vaibhav.v@osmosys.co</t>
        </is>
      </c>
      <c r="D3523" t="inlineStr">
        <is>
          <t>incident-reporter</t>
        </is>
      </c>
      <c r="E3523">
        <f>HYPERLINK("http://gitlab.osmosys.co/incident-reporter/incident-reporter-angular-portal", "OQSHA Portal")</f>
        <v/>
      </c>
      <c r="F3523">
        <f>HYPERLINK("http://gitlab.osmosys.co/incident-reporter/incident-reporter-angular-portal/-/merge_requests/3484", "fix: fix app permission empty")</f>
        <v/>
      </c>
      <c r="G3523" t="inlineStr">
        <is>
          <t>fix/fix-add-user</t>
        </is>
      </c>
      <c r="H3523" t="inlineStr">
        <is>
          <t>sprint-17</t>
        </is>
      </c>
      <c r="I3523" t="inlineStr">
        <is>
          <t>merged</t>
        </is>
      </c>
      <c r="J3523" t="inlineStr"/>
      <c r="K3523" t="inlineStr"/>
      <c r="L3523" t="inlineStr"/>
      <c r="M3523" t="inlineStr"/>
      <c r="N3523" t="inlineStr"/>
      <c r="O3523" t="inlineStr"/>
      <c r="P3523" t="inlineStr"/>
      <c r="Q3523" t="inlineStr"/>
    </row>
    <row r="3524">
      <c r="A3524" t="inlineStr">
        <is>
          <t>vaibhav.v</t>
        </is>
      </c>
      <c r="B3524" t="inlineStr">
        <is>
          <t>Vaibhav Varun</t>
        </is>
      </c>
      <c r="C3524" t="inlineStr">
        <is>
          <t>vaibhav.v@osmosys.co</t>
        </is>
      </c>
      <c r="D3524" t="inlineStr">
        <is>
          <t>incident-reporter</t>
        </is>
      </c>
      <c r="E3524">
        <f>HYPERLINK("http://gitlab.osmosys.co/incident-reporter/incident-reporter-angular-portal", "OQSHA Portal")</f>
        <v/>
      </c>
      <c r="F3524">
        <f>HYPERLINK("http://gitlab.osmosys.co/incident-reporter/incident-reporter-angular-portal/-/merge_requests/3478", "fix: fix height of task filter")</f>
        <v/>
      </c>
      <c r="G3524" t="inlineStr">
        <is>
          <t>fix/fix-height</t>
        </is>
      </c>
      <c r="H3524" t="inlineStr">
        <is>
          <t>sprint-17</t>
        </is>
      </c>
      <c r="I3524" t="inlineStr">
        <is>
          <t>merged</t>
        </is>
      </c>
      <c r="J3524" t="inlineStr"/>
      <c r="K3524" t="inlineStr"/>
      <c r="L3524" t="inlineStr"/>
      <c r="M3524" t="inlineStr"/>
      <c r="N3524" t="inlineStr"/>
      <c r="O3524" t="inlineStr"/>
      <c r="P3524" t="inlineStr"/>
      <c r="Q3524" t="inlineStr"/>
    </row>
    <row r="3525">
      <c r="A3525" t="inlineStr">
        <is>
          <t>vaibhav.v</t>
        </is>
      </c>
      <c r="B3525" t="inlineStr">
        <is>
          <t>Vaibhav Varun</t>
        </is>
      </c>
      <c r="C3525" t="inlineStr">
        <is>
          <t>vaibhav.v@osmosys.co</t>
        </is>
      </c>
      <c r="D3525" t="inlineStr">
        <is>
          <t>incident-reporter</t>
        </is>
      </c>
      <c r="E3525">
        <f>HYPERLINK("http://gitlab.osmosys.co/incident-reporter/incident-reporter-angular-portal", "OQSHA Portal")</f>
        <v/>
      </c>
      <c r="F3525">
        <f>HYPERLINK("http://gitlab.osmosys.co/incident-reporter/incident-reporter-angular-portal/-/merge_requests/3474", "fix: fix task payload")</f>
        <v/>
      </c>
      <c r="G3525" t="inlineStr">
        <is>
          <t>fix/task-payload</t>
        </is>
      </c>
      <c r="H3525" t="inlineStr">
        <is>
          <t>sprint-17</t>
        </is>
      </c>
      <c r="I3525" t="inlineStr">
        <is>
          <t>merged</t>
        </is>
      </c>
      <c r="J3525" t="inlineStr">
        <is>
          <t>b5bb010158ca80e8f1ea8fd3c3250b459d6dde14</t>
        </is>
      </c>
      <c r="K3525">
        <f>HYPERLINK("http://gitlab.osmosys.co/incident-reporter/incident-reporter-angular-portal/-/merge_requests/3474#note_237887", "Code repetition please fix and improve it")</f>
        <v/>
      </c>
      <c r="L3525" t="inlineStr">
        <is>
          <t>2025-07-16 19:29:56.734 IST</t>
        </is>
      </c>
      <c r="M3525" t="inlineStr">
        <is>
          <t>Soundariya B</t>
        </is>
      </c>
      <c r="N3525" t="inlineStr">
        <is>
          <t>Yes</t>
        </is>
      </c>
      <c r="O3525" t="inlineStr">
        <is>
          <t>Yes</t>
        </is>
      </c>
      <c r="P3525" t="inlineStr">
        <is>
          <t>Soundariya B</t>
        </is>
      </c>
      <c r="Q3525" t="inlineStr">
        <is>
          <t>Bad</t>
        </is>
      </c>
    </row>
    <row r="3526">
      <c r="A3526" t="inlineStr">
        <is>
          <t>vaibhav.v</t>
        </is>
      </c>
      <c r="B3526" t="inlineStr">
        <is>
          <t>Vaibhav Varun</t>
        </is>
      </c>
      <c r="C3526" t="inlineStr">
        <is>
          <t>vaibhav.v@osmosys.co</t>
        </is>
      </c>
      <c r="D3526" t="inlineStr">
        <is>
          <t>incident-reporter</t>
        </is>
      </c>
      <c r="E3526">
        <f>HYPERLINK("http://gitlab.osmosys.co/incident-reporter/incident-reporter-angular-portal", "OQSHA Portal")</f>
        <v/>
      </c>
      <c r="F3526">
        <f>HYPERLINK("http://gitlab.osmosys.co/incident-reporter/incident-reporter-angular-portal/-/merge_requests/3474", "fix: fix task payload")</f>
        <v/>
      </c>
      <c r="G3526" t="inlineStr">
        <is>
          <t>fix/task-payload</t>
        </is>
      </c>
      <c r="H3526" t="inlineStr">
        <is>
          <t>sprint-17</t>
        </is>
      </c>
      <c r="I3526" t="inlineStr">
        <is>
          <t>merged</t>
        </is>
      </c>
      <c r="J3526" t="inlineStr">
        <is>
          <t>b5bb010158ca80e8f1ea8fd3c3250b459d6dde14</t>
        </is>
      </c>
      <c r="K3526">
        <f>HYPERLINK("http://gitlab.osmosys.co/incident-reporter/incident-reporter-angular-portal/-/merge_requests/3474#note_237958", "done")</f>
        <v/>
      </c>
      <c r="L3526" t="inlineStr">
        <is>
          <t>2025-07-16 22:32:08.570 IST</t>
        </is>
      </c>
      <c r="M3526" t="inlineStr">
        <is>
          <t>Vaibhav Varun</t>
        </is>
      </c>
      <c r="N3526" t="inlineStr">
        <is>
          <t>No</t>
        </is>
      </c>
      <c r="O3526" t="inlineStr">
        <is>
          <t>Yes</t>
        </is>
      </c>
      <c r="P3526" t="inlineStr">
        <is>
          <t>Soundariya B</t>
        </is>
      </c>
      <c r="Q3526" t="inlineStr">
        <is>
          <t>Bad</t>
        </is>
      </c>
    </row>
    <row r="3527">
      <c r="A3527" t="inlineStr">
        <is>
          <t>vaibhav.v</t>
        </is>
      </c>
      <c r="B3527" t="inlineStr">
        <is>
          <t>Vaibhav Varun</t>
        </is>
      </c>
      <c r="C3527" t="inlineStr">
        <is>
          <t>vaibhav.v@osmosys.co</t>
        </is>
      </c>
      <c r="D3527" t="inlineStr">
        <is>
          <t>incident-reporter</t>
        </is>
      </c>
      <c r="E3527">
        <f>HYPERLINK("http://gitlab.osmosys.co/incident-reporter/incident-reporter-angular-portal", "OQSHA Portal")</f>
        <v/>
      </c>
      <c r="F3527">
        <f>HYPERLINK("http://gitlab.osmosys.co/incident-reporter/incident-reporter-angular-portal/-/merge_requests/3474", "fix: fix task payload")</f>
        <v/>
      </c>
      <c r="G3527" t="inlineStr">
        <is>
          <t>fix/task-payload</t>
        </is>
      </c>
      <c r="H3527" t="inlineStr">
        <is>
          <t>sprint-17</t>
        </is>
      </c>
      <c r="I3527" t="inlineStr">
        <is>
          <t>merged</t>
        </is>
      </c>
      <c r="J3527" t="inlineStr">
        <is>
          <t>354e31492504bcbfcee11703cf0e28ce12b2438c</t>
        </is>
      </c>
      <c r="K3527">
        <f>HYPERLINK("http://gitlab.osmosys.co/incident-reporter/incident-reporter-angular-portal/-/merge_requests/3474#note_237888", "Can you attach the SS and screen recording in this PR?")</f>
        <v/>
      </c>
      <c r="L3527" t="inlineStr">
        <is>
          <t>2025-07-16 19:29:56.788 IST</t>
        </is>
      </c>
      <c r="M3527" t="inlineStr">
        <is>
          <t>Soundariya B</t>
        </is>
      </c>
      <c r="N3527" t="inlineStr">
        <is>
          <t>Yes</t>
        </is>
      </c>
      <c r="O3527" t="inlineStr">
        <is>
          <t>Yes</t>
        </is>
      </c>
      <c r="P3527" t="inlineStr">
        <is>
          <t>Soundariya B</t>
        </is>
      </c>
      <c r="Q3527" t="inlineStr">
        <is>
          <t>Good</t>
        </is>
      </c>
    </row>
    <row r="3528">
      <c r="A3528" t="inlineStr">
        <is>
          <t>vaibhav.v</t>
        </is>
      </c>
      <c r="B3528" t="inlineStr">
        <is>
          <t>Vaibhav Varun</t>
        </is>
      </c>
      <c r="C3528" t="inlineStr">
        <is>
          <t>vaibhav.v@osmosys.co</t>
        </is>
      </c>
      <c r="D3528" t="inlineStr">
        <is>
          <t>incident-reporter</t>
        </is>
      </c>
      <c r="E3528">
        <f>HYPERLINK("http://gitlab.osmosys.co/incident-reporter/incident-reporter-angular-portal", "OQSHA Portal")</f>
        <v/>
      </c>
      <c r="F3528">
        <f>HYPERLINK("http://gitlab.osmosys.co/incident-reporter/incident-reporter-angular-portal/-/merge_requests/3474", "fix: fix task payload")</f>
        <v/>
      </c>
      <c r="G3528" t="inlineStr">
        <is>
          <t>fix/task-payload</t>
        </is>
      </c>
      <c r="H3528" t="inlineStr">
        <is>
          <t>sprint-17</t>
        </is>
      </c>
      <c r="I3528" t="inlineStr">
        <is>
          <t>merged</t>
        </is>
      </c>
      <c r="J3528" t="inlineStr">
        <is>
          <t>354e31492504bcbfcee11703cf0e28ce12b2438c</t>
        </is>
      </c>
      <c r="K3528">
        <f>HYPERLINK("http://gitlab.osmosys.co/incident-reporter/incident-reporter-angular-portal/-/merge_requests/3474#note_237959", "![image](/uploads/edc958ed29d9169310de8e3158774a67/image.png)  
Earlier the date used to be auto filled and task got created on that date.")</f>
        <v/>
      </c>
      <c r="L3528" t="inlineStr">
        <is>
          <t>2025-07-16 22:32:35.517 IST</t>
        </is>
      </c>
      <c r="M3528" t="inlineStr">
        <is>
          <t>Vaibhav Varun</t>
        </is>
      </c>
      <c r="N3528" t="inlineStr">
        <is>
          <t>No</t>
        </is>
      </c>
      <c r="O3528" t="inlineStr">
        <is>
          <t>Yes</t>
        </is>
      </c>
      <c r="P3528" t="inlineStr">
        <is>
          <t>Soundariya B</t>
        </is>
      </c>
      <c r="Q3528" t="inlineStr">
        <is>
          <t>Good</t>
        </is>
      </c>
    </row>
    <row r="3529">
      <c r="A3529" t="inlineStr">
        <is>
          <t>vaibhav.v</t>
        </is>
      </c>
      <c r="B3529" t="inlineStr">
        <is>
          <t>Vaibhav Varun</t>
        </is>
      </c>
      <c r="C3529" t="inlineStr">
        <is>
          <t>vaibhav.v@osmosys.co</t>
        </is>
      </c>
      <c r="D3529" t="inlineStr">
        <is>
          <t>incident-reporter</t>
        </is>
      </c>
      <c r="E3529">
        <f>HYPERLINK("http://gitlab.osmosys.co/incident-reporter/incident-reporter-angular-portal", "OQSHA Portal")</f>
        <v/>
      </c>
      <c r="F3529">
        <f>HYPERLINK("http://gitlab.osmosys.co/incident-reporter/incident-reporter-angular-portal/-/merge_requests/3466", "fix: fix csv report payload")</f>
        <v/>
      </c>
      <c r="G3529" t="inlineStr">
        <is>
          <t>fix/fix-payload</t>
        </is>
      </c>
      <c r="H3529" t="inlineStr">
        <is>
          <t>sprint-17</t>
        </is>
      </c>
      <c r="I3529" t="inlineStr">
        <is>
          <t>merged</t>
        </is>
      </c>
      <c r="J3529" t="inlineStr"/>
      <c r="K3529" t="inlineStr"/>
      <c r="L3529" t="inlineStr"/>
      <c r="M3529" t="inlineStr"/>
      <c r="N3529" t="inlineStr"/>
      <c r="O3529" t="inlineStr"/>
      <c r="P3529" t="inlineStr"/>
      <c r="Q3529" t="inlineStr"/>
    </row>
    <row r="3530">
      <c r="A3530" t="inlineStr">
        <is>
          <t>vaibhav.v</t>
        </is>
      </c>
      <c r="B3530" t="inlineStr">
        <is>
          <t>Vaibhav Varun</t>
        </is>
      </c>
      <c r="C3530" t="inlineStr">
        <is>
          <t>vaibhav.v@osmosys.co</t>
        </is>
      </c>
      <c r="D3530" t="inlineStr">
        <is>
          <t>incident-reporter</t>
        </is>
      </c>
      <c r="E3530">
        <f>HYPERLINK("http://gitlab.osmosys.co/incident-reporter/incident-reporter-angular-portal", "OQSHA Portal")</f>
        <v/>
      </c>
      <c r="F3530">
        <f>HYPERLINK("http://gitlab.osmosys.co/incident-reporter/incident-reporter-angular-portal/-/merge_requests/3457", "fix: fix department visibility")</f>
        <v/>
      </c>
      <c r="G3530" t="inlineStr">
        <is>
          <t>fix/fix-departments</t>
        </is>
      </c>
      <c r="H3530" t="inlineStr">
        <is>
          <t>sprint-17</t>
        </is>
      </c>
      <c r="I3530" t="inlineStr">
        <is>
          <t>merged</t>
        </is>
      </c>
      <c r="J3530" t="inlineStr">
        <is>
          <t>a9aaeb7cb52038fadfc51a15e3ffdd04cce8eef2</t>
        </is>
      </c>
      <c r="K3530">
        <f>HYPERLINK("http://gitlab.osmosys.co/incident-reporter/incident-reporter-angular-portal/-/merge_requests/3457#note_237593", "Merge conflicts")</f>
        <v/>
      </c>
      <c r="L3530" t="inlineStr">
        <is>
          <t>2025-07-16 15:28:05.352 IST</t>
        </is>
      </c>
      <c r="M3530" t="inlineStr">
        <is>
          <t>Soundariya B</t>
        </is>
      </c>
      <c r="N3530" t="inlineStr">
        <is>
          <t>Yes</t>
        </is>
      </c>
      <c r="O3530" t="inlineStr">
        <is>
          <t>Yes</t>
        </is>
      </c>
      <c r="P3530" t="inlineStr">
        <is>
          <t>Soundariya B</t>
        </is>
      </c>
      <c r="Q3530" t="inlineStr">
        <is>
          <t>Bad</t>
        </is>
      </c>
    </row>
    <row r="3531">
      <c r="A3531" t="inlineStr">
        <is>
          <t>vaibhav.v</t>
        </is>
      </c>
      <c r="B3531" t="inlineStr">
        <is>
          <t>Vaibhav Varun</t>
        </is>
      </c>
      <c r="C3531" t="inlineStr">
        <is>
          <t>vaibhav.v@osmosys.co</t>
        </is>
      </c>
      <c r="D3531" t="inlineStr">
        <is>
          <t>incident-reporter</t>
        </is>
      </c>
      <c r="E3531">
        <f>HYPERLINK("http://gitlab.osmosys.co/incident-reporter/incident-reporter-angular-portal", "OQSHA Portal")</f>
        <v/>
      </c>
      <c r="F3531">
        <f>HYPERLINK("http://gitlab.osmosys.co/incident-reporter/incident-reporter-angular-portal/-/merge_requests/3457", "fix: fix department visibility")</f>
        <v/>
      </c>
      <c r="G3531" t="inlineStr">
        <is>
          <t>fix/fix-departments</t>
        </is>
      </c>
      <c r="H3531" t="inlineStr">
        <is>
          <t>sprint-17</t>
        </is>
      </c>
      <c r="I3531" t="inlineStr">
        <is>
          <t>merged</t>
        </is>
      </c>
      <c r="J3531" t="inlineStr">
        <is>
          <t>a9aaeb7cb52038fadfc51a15e3ffdd04cce8eef2</t>
        </is>
      </c>
      <c r="K3531">
        <f>HYPERLINK("http://gitlab.osmosys.co/incident-reporter/incident-reporter-angular-portal/-/merge_requests/3457#note_237620", "Done")</f>
        <v/>
      </c>
      <c r="L3531" t="inlineStr">
        <is>
          <t>2025-07-16 15:45:40.818 IST</t>
        </is>
      </c>
      <c r="M3531" t="inlineStr">
        <is>
          <t>Vaibhav Varun</t>
        </is>
      </c>
      <c r="N3531" t="inlineStr">
        <is>
          <t>No</t>
        </is>
      </c>
      <c r="O3531" t="inlineStr">
        <is>
          <t>Yes</t>
        </is>
      </c>
      <c r="P3531" t="inlineStr">
        <is>
          <t>Soundariya B</t>
        </is>
      </c>
      <c r="Q3531" t="inlineStr">
        <is>
          <t>Bad</t>
        </is>
      </c>
    </row>
    <row r="3532">
      <c r="A3532" t="inlineStr">
        <is>
          <t>vaibhav.v</t>
        </is>
      </c>
      <c r="B3532" t="inlineStr">
        <is>
          <t>Vaibhav Varun</t>
        </is>
      </c>
      <c r="C3532" t="inlineStr">
        <is>
          <t>vaibhav.v@osmosys.co</t>
        </is>
      </c>
      <c r="D3532" t="inlineStr">
        <is>
          <t>incident-reporter</t>
        </is>
      </c>
      <c r="E3532">
        <f>HYPERLINK("http://gitlab.osmosys.co/incident-reporter/incident-reporter-angular-portal", "OQSHA Portal")</f>
        <v/>
      </c>
      <c r="F3532">
        <f>HYPERLINK("http://gitlab.osmosys.co/incident-reporter/incident-reporter-angular-portal/-/merge_requests/3457", "fix: fix department visibility")</f>
        <v/>
      </c>
      <c r="G3532" t="inlineStr">
        <is>
          <t>fix/fix-departments</t>
        </is>
      </c>
      <c r="H3532" t="inlineStr">
        <is>
          <t>sprint-17</t>
        </is>
      </c>
      <c r="I3532" t="inlineStr">
        <is>
          <t>merged</t>
        </is>
      </c>
      <c r="J3532" t="inlineStr">
        <is>
          <t>ce190c50c94f32b870cc1d30bb6e061ba624eee6</t>
        </is>
      </c>
      <c r="K3532">
        <f>HYPERLINK("http://gitlab.osmosys.co/incident-reporter/incident-reporter-angular-portal/-/merge_requests/3457#note_237594", "Can you take this from the common helper file instead of defining in every file?
And remove it from everywhere")</f>
        <v/>
      </c>
      <c r="L3532" t="inlineStr">
        <is>
          <t>2025-07-16 15:28:05.411 IST</t>
        </is>
      </c>
      <c r="M3532" t="inlineStr">
        <is>
          <t>Soundariya B</t>
        </is>
      </c>
      <c r="N3532" t="inlineStr">
        <is>
          <t>Yes</t>
        </is>
      </c>
      <c r="O3532" t="inlineStr">
        <is>
          <t>Yes</t>
        </is>
      </c>
      <c r="P3532" t="inlineStr">
        <is>
          <t>Soundariya B</t>
        </is>
      </c>
      <c r="Q3532" t="inlineStr">
        <is>
          <t>Bad</t>
        </is>
      </c>
    </row>
    <row r="3533">
      <c r="A3533" t="inlineStr">
        <is>
          <t>vaibhav.v</t>
        </is>
      </c>
      <c r="B3533" t="inlineStr">
        <is>
          <t>Vaibhav Varun</t>
        </is>
      </c>
      <c r="C3533" t="inlineStr">
        <is>
          <t>vaibhav.v@osmosys.co</t>
        </is>
      </c>
      <c r="D3533" t="inlineStr">
        <is>
          <t>incident-reporter</t>
        </is>
      </c>
      <c r="E3533">
        <f>HYPERLINK("http://gitlab.osmosys.co/incident-reporter/incident-reporter-angular-portal", "OQSHA Portal")</f>
        <v/>
      </c>
      <c r="F3533">
        <f>HYPERLINK("http://gitlab.osmosys.co/incident-reporter/incident-reporter-angular-portal/-/merge_requests/3457", "fix: fix department visibility")</f>
        <v/>
      </c>
      <c r="G3533" t="inlineStr">
        <is>
          <t>fix/fix-departments</t>
        </is>
      </c>
      <c r="H3533" t="inlineStr">
        <is>
          <t>sprint-17</t>
        </is>
      </c>
      <c r="I3533" t="inlineStr">
        <is>
          <t>merged</t>
        </is>
      </c>
      <c r="J3533" t="inlineStr">
        <is>
          <t>ce190c50c94f32b870cc1d30bb6e061ba624eee6</t>
        </is>
      </c>
      <c r="K3533">
        <f>HYPERLINK("http://gitlab.osmosys.co/incident-reporter/incident-reporter-angular-portal/-/merge_requests/3457#note_237628", "Removed it from 7 files and added in service file")</f>
        <v/>
      </c>
      <c r="L3533" t="inlineStr">
        <is>
          <t>2025-07-16 15:53:35.084 IST</t>
        </is>
      </c>
      <c r="M3533" t="inlineStr">
        <is>
          <t>Vaibhav Varun</t>
        </is>
      </c>
      <c r="N3533" t="inlineStr">
        <is>
          <t>No</t>
        </is>
      </c>
      <c r="O3533" t="inlineStr">
        <is>
          <t>Yes</t>
        </is>
      </c>
      <c r="P3533" t="inlineStr">
        <is>
          <t>Soundariya B</t>
        </is>
      </c>
      <c r="Q3533" t="inlineStr">
        <is>
          <t>Bad</t>
        </is>
      </c>
    </row>
    <row r="3534">
      <c r="A3534" t="inlineStr">
        <is>
          <t>vaibhav.v</t>
        </is>
      </c>
      <c r="B3534" t="inlineStr">
        <is>
          <t>Vaibhav Varun</t>
        </is>
      </c>
      <c r="C3534" t="inlineStr">
        <is>
          <t>vaibhav.v@osmosys.co</t>
        </is>
      </c>
      <c r="D3534" t="inlineStr">
        <is>
          <t>incident-reporter</t>
        </is>
      </c>
      <c r="E3534">
        <f>HYPERLINK("http://gitlab.osmosys.co/incident-reporter/incident-reporter-angular-portal", "OQSHA Portal")</f>
        <v/>
      </c>
      <c r="F3534">
        <f>HYPERLINK("http://gitlab.osmosys.co/incident-reporter/incident-reporter-angular-portal/-/merge_requests/3457", "fix: fix department visibility")</f>
        <v/>
      </c>
      <c r="G3534" t="inlineStr">
        <is>
          <t>fix/fix-departments</t>
        </is>
      </c>
      <c r="H3534" t="inlineStr">
        <is>
          <t>sprint-17</t>
        </is>
      </c>
      <c r="I3534" t="inlineStr">
        <is>
          <t>merged</t>
        </is>
      </c>
      <c r="J3534" t="inlineStr">
        <is>
          <t>ce190c50c94f32b870cc1d30bb6e061ba624eee6</t>
        </is>
      </c>
      <c r="K3534">
        <f>HYPERLINK("http://gitlab.osmosys.co/incident-reporter/incident-reporter-angular-portal/-/merge_requests/3457#note_237721", "Yes you did but still needs to fix it properly so i raised new thread for this please  - http://gitlab.osmosys.co/incident-reporter/incident-reporter-angular-portal/-/merge_requests/3457#note_237719")</f>
        <v/>
      </c>
      <c r="L3534" t="inlineStr">
        <is>
          <t>2025-07-16 17:00:06.115 IST</t>
        </is>
      </c>
      <c r="M3534" t="inlineStr">
        <is>
          <t>Soundariya B</t>
        </is>
      </c>
      <c r="N3534" t="inlineStr">
        <is>
          <t>Yes</t>
        </is>
      </c>
      <c r="O3534" t="inlineStr">
        <is>
          <t>Yes</t>
        </is>
      </c>
      <c r="P3534" t="inlineStr">
        <is>
          <t>Soundariya B</t>
        </is>
      </c>
      <c r="Q3534" t="inlineStr">
        <is>
          <t>Bad</t>
        </is>
      </c>
    </row>
    <row r="3535">
      <c r="A3535" t="inlineStr">
        <is>
          <t>vaibhav.v</t>
        </is>
      </c>
      <c r="B3535" t="inlineStr">
        <is>
          <t>Vaibhav Varun</t>
        </is>
      </c>
      <c r="C3535" t="inlineStr">
        <is>
          <t>vaibhav.v@osmosys.co</t>
        </is>
      </c>
      <c r="D3535" t="inlineStr">
        <is>
          <t>incident-reporter</t>
        </is>
      </c>
      <c r="E3535">
        <f>HYPERLINK("http://gitlab.osmosys.co/incident-reporter/incident-reporter-angular-portal", "OQSHA Portal")</f>
        <v/>
      </c>
      <c r="F3535">
        <f>HYPERLINK("http://gitlab.osmosys.co/incident-reporter/incident-reporter-angular-portal/-/merge_requests/3457", "fix: fix department visibility")</f>
        <v/>
      </c>
      <c r="G3535" t="inlineStr">
        <is>
          <t>fix/fix-departments</t>
        </is>
      </c>
      <c r="H3535" t="inlineStr">
        <is>
          <t>sprint-17</t>
        </is>
      </c>
      <c r="I3535" t="inlineStr">
        <is>
          <t>merged</t>
        </is>
      </c>
      <c r="J3535" t="inlineStr">
        <is>
          <t>ce190c50c94f32b870cc1d30bb6e061ba624eee6</t>
        </is>
      </c>
      <c r="K3535">
        <f>HYPERLINK("http://gitlab.osmosys.co/incident-reporter/incident-reporter-angular-portal/-/merge_requests/3457#note_237809", "Done")</f>
        <v/>
      </c>
      <c r="L3535" t="inlineStr">
        <is>
          <t>2025-07-16 17:55:59.873 IST</t>
        </is>
      </c>
      <c r="M3535" t="inlineStr">
        <is>
          <t>Vaibhav Varun</t>
        </is>
      </c>
      <c r="N3535" t="inlineStr">
        <is>
          <t>No</t>
        </is>
      </c>
      <c r="O3535" t="inlineStr">
        <is>
          <t>Yes</t>
        </is>
      </c>
      <c r="P3535" t="inlineStr">
        <is>
          <t>Soundariya B</t>
        </is>
      </c>
      <c r="Q3535" t="inlineStr">
        <is>
          <t>Bad</t>
        </is>
      </c>
    </row>
    <row r="3536">
      <c r="A3536" t="inlineStr">
        <is>
          <t>vaibhav.v</t>
        </is>
      </c>
      <c r="B3536" t="inlineStr">
        <is>
          <t>Vaibhav Varun</t>
        </is>
      </c>
      <c r="C3536" t="inlineStr">
        <is>
          <t>vaibhav.v@osmosys.co</t>
        </is>
      </c>
      <c r="D3536" t="inlineStr">
        <is>
          <t>incident-reporter</t>
        </is>
      </c>
      <c r="E3536">
        <f>HYPERLINK("http://gitlab.osmosys.co/incident-reporter/incident-reporter-angular-portal", "OQSHA Portal")</f>
        <v/>
      </c>
      <c r="F3536">
        <f>HYPERLINK("http://gitlab.osmosys.co/incident-reporter/incident-reporter-angular-portal/-/merge_requests/3457", "fix: fix department visibility")</f>
        <v/>
      </c>
      <c r="G3536" t="inlineStr">
        <is>
          <t>fix/fix-departments</t>
        </is>
      </c>
      <c r="H3536" t="inlineStr">
        <is>
          <t>sprint-17</t>
        </is>
      </c>
      <c r="I3536" t="inlineStr">
        <is>
          <t>merged</t>
        </is>
      </c>
      <c r="J3536" t="inlineStr">
        <is>
          <t>d99a180b3c5f80b371806b35997a75d324961165</t>
        </is>
      </c>
      <c r="K3536">
        <f>HYPERLINK("http://gitlab.osmosys.co/incident-reporter/incident-reporter-angular-portal/-/merge_requests/3457#note_237719", "Why are you using hiraService in the work-permit component? Can't you define this in helper ts file or shared or common service file and then use it?
Please fix it everywhere. Despite I already mention to define in some common place")</f>
        <v/>
      </c>
      <c r="L3536" t="inlineStr">
        <is>
          <t>2025-07-16 16:59:16.159 IST</t>
        </is>
      </c>
      <c r="M3536" t="inlineStr">
        <is>
          <t>Soundariya B</t>
        </is>
      </c>
      <c r="N3536" t="inlineStr">
        <is>
          <t>Yes</t>
        </is>
      </c>
      <c r="O3536" t="inlineStr">
        <is>
          <t>Yes</t>
        </is>
      </c>
      <c r="P3536" t="inlineStr">
        <is>
          <t>Soundariya B</t>
        </is>
      </c>
      <c r="Q3536" t="inlineStr">
        <is>
          <t>Bad</t>
        </is>
      </c>
    </row>
    <row r="3537">
      <c r="A3537" t="inlineStr">
        <is>
          <t>vaibhav.v</t>
        </is>
      </c>
      <c r="B3537" t="inlineStr">
        <is>
          <t>Vaibhav Varun</t>
        </is>
      </c>
      <c r="C3537" t="inlineStr">
        <is>
          <t>vaibhav.v@osmosys.co</t>
        </is>
      </c>
      <c r="D3537" t="inlineStr">
        <is>
          <t>incident-reporter</t>
        </is>
      </c>
      <c r="E3537">
        <f>HYPERLINK("http://gitlab.osmosys.co/incident-reporter/incident-reporter-angular-portal", "OQSHA Portal")</f>
        <v/>
      </c>
      <c r="F3537">
        <f>HYPERLINK("http://gitlab.osmosys.co/incident-reporter/incident-reporter-angular-portal/-/merge_requests/3457", "fix: fix department visibility")</f>
        <v/>
      </c>
      <c r="G3537" t="inlineStr">
        <is>
          <t>fix/fix-departments</t>
        </is>
      </c>
      <c r="H3537" t="inlineStr">
        <is>
          <t>sprint-17</t>
        </is>
      </c>
      <c r="I3537" t="inlineStr">
        <is>
          <t>merged</t>
        </is>
      </c>
      <c r="J3537" t="inlineStr">
        <is>
          <t>d99a180b3c5f80b371806b35997a75d324961165</t>
        </is>
      </c>
      <c r="K3537">
        <f>HYPERLINK("http://gitlab.osmosys.co/incident-reporter/incident-reporter-angular-portal/-/merge_requests/3457#note_237810", "Done")</f>
        <v/>
      </c>
      <c r="L3537" t="inlineStr">
        <is>
          <t>2025-07-16 17:56:04.016 IST</t>
        </is>
      </c>
      <c r="M3537" t="inlineStr">
        <is>
          <t>Vaibhav Varun</t>
        </is>
      </c>
      <c r="N3537" t="inlineStr">
        <is>
          <t>No</t>
        </is>
      </c>
      <c r="O3537" t="inlineStr">
        <is>
          <t>Yes</t>
        </is>
      </c>
      <c r="P3537" t="inlineStr">
        <is>
          <t>Soundariya B</t>
        </is>
      </c>
      <c r="Q3537" t="inlineStr">
        <is>
          <t>Bad</t>
        </is>
      </c>
    </row>
    <row r="3538">
      <c r="A3538" t="inlineStr">
        <is>
          <t>vaibhav.v</t>
        </is>
      </c>
      <c r="B3538" t="inlineStr">
        <is>
          <t>Vaibhav Varun</t>
        </is>
      </c>
      <c r="C3538" t="inlineStr">
        <is>
          <t>vaibhav.v@osmosys.co</t>
        </is>
      </c>
      <c r="D3538" t="inlineStr">
        <is>
          <t>incident-reporter</t>
        </is>
      </c>
      <c r="E3538">
        <f>HYPERLINK("http://gitlab.osmosys.co/incident-reporter/incident-reporter-angular-portal", "OQSHA Portal")</f>
        <v/>
      </c>
      <c r="F3538">
        <f>HYPERLINK("http://gitlab.osmosys.co/incident-reporter/incident-reporter-angular-portal/-/merge_requests/3452", "fix: fix export payload in tasks and inspection")</f>
        <v/>
      </c>
      <c r="G3538" t="inlineStr">
        <is>
          <t>fix/export-payload</t>
        </is>
      </c>
      <c r="H3538" t="inlineStr">
        <is>
          <t>sprint-17</t>
        </is>
      </c>
      <c r="I3538" t="inlineStr">
        <is>
          <t>merged</t>
        </is>
      </c>
      <c r="J3538" t="inlineStr"/>
      <c r="K3538" t="inlineStr"/>
      <c r="L3538" t="inlineStr"/>
      <c r="M3538" t="inlineStr"/>
      <c r="N3538" t="inlineStr"/>
      <c r="O3538" t="inlineStr"/>
      <c r="P3538" t="inlineStr"/>
      <c r="Q3538" t="inlineStr"/>
    </row>
    <row r="3539">
      <c r="A3539" t="inlineStr">
        <is>
          <t>vaibhav.v</t>
        </is>
      </c>
      <c r="B3539" t="inlineStr">
        <is>
          <t>Vaibhav Varun</t>
        </is>
      </c>
      <c r="C3539" t="inlineStr">
        <is>
          <t>vaibhav.v@osmosys.co</t>
        </is>
      </c>
      <c r="D3539" t="inlineStr">
        <is>
          <t>incident-reporter</t>
        </is>
      </c>
      <c r="E3539">
        <f>HYPERLINK("http://gitlab.osmosys.co/incident-reporter/incident-reporter-angular-portal", "OQSHA Portal")</f>
        <v/>
      </c>
      <c r="F3539">
        <f>HYPERLINK("http://gitlab.osmosys.co/incident-reporter/incident-reporter-angular-portal/-/merge_requests/3444", "feat: ticket assign to dropdown")</f>
        <v/>
      </c>
      <c r="G3539" t="inlineStr">
        <is>
          <t>feat/ticket-assign</t>
        </is>
      </c>
      <c r="H3539" t="inlineStr">
        <is>
          <t>sprint-17</t>
        </is>
      </c>
      <c r="I3539" t="inlineStr">
        <is>
          <t>closed</t>
        </is>
      </c>
      <c r="J3539" t="inlineStr"/>
      <c r="K3539" t="inlineStr"/>
      <c r="L3539" t="inlineStr"/>
      <c r="M3539" t="inlineStr"/>
      <c r="N3539" t="inlineStr"/>
      <c r="O3539" t="inlineStr"/>
      <c r="P3539" t="inlineStr"/>
      <c r="Q3539" t="inlineStr"/>
    </row>
    <row r="3540">
      <c r="A3540" t="inlineStr">
        <is>
          <t>vaibhav.v</t>
        </is>
      </c>
      <c r="B3540" t="inlineStr">
        <is>
          <t>Vaibhav Varun</t>
        </is>
      </c>
      <c r="C3540" t="inlineStr">
        <is>
          <t>vaibhav.v@osmosys.co</t>
        </is>
      </c>
      <c r="D3540" t="inlineStr">
        <is>
          <t>incident-reporter</t>
        </is>
      </c>
      <c r="E3540">
        <f>HYPERLINK("http://gitlab.osmosys.co/incident-reporter/incident-reporter-angular-portal", "OQSHA Portal")</f>
        <v/>
      </c>
      <c r="F3540">
        <f>HYPERLINK("http://gitlab.osmosys.co/incident-reporter/incident-reporter-angular-portal/-/merge_requests/3425", "fix: fix csv report payload")</f>
        <v/>
      </c>
      <c r="G3540" t="inlineStr">
        <is>
          <t>fix/csv-report</t>
        </is>
      </c>
      <c r="H3540" t="inlineStr">
        <is>
          <t>sprint-17</t>
        </is>
      </c>
      <c r="I3540" t="inlineStr">
        <is>
          <t>merged</t>
        </is>
      </c>
      <c r="J3540" t="inlineStr"/>
      <c r="K3540" t="inlineStr"/>
      <c r="L3540" t="inlineStr"/>
      <c r="M3540" t="inlineStr"/>
      <c r="N3540" t="inlineStr"/>
      <c r="O3540" t="inlineStr"/>
      <c r="P3540" t="inlineStr"/>
      <c r="Q3540" t="inlineStr"/>
    </row>
    <row r="3541">
      <c r="A3541" t="inlineStr">
        <is>
          <t>vaibhav.v</t>
        </is>
      </c>
      <c r="B3541" t="inlineStr">
        <is>
          <t>Vaibhav Varun</t>
        </is>
      </c>
      <c r="C3541" t="inlineStr">
        <is>
          <t>vaibhav.v@osmosys.co</t>
        </is>
      </c>
      <c r="D3541" t="inlineStr">
        <is>
          <t>incident-reporter</t>
        </is>
      </c>
      <c r="E3541">
        <f>HYPERLINK("http://gitlab.osmosys.co/incident-reporter/incident-reporter-angular-portal", "OQSHA Portal")</f>
        <v/>
      </c>
      <c r="F3541">
        <f>HYPERLINK("http://gitlab.osmosys.co/incident-reporter/incident-reporter-angular-portal/-/merge_requests/3419", "fix: fix department selection")</f>
        <v/>
      </c>
      <c r="G3541" t="inlineStr">
        <is>
          <t>fix/fix-department</t>
        </is>
      </c>
      <c r="H3541" t="inlineStr">
        <is>
          <t>sprint-17</t>
        </is>
      </c>
      <c r="I3541" t="inlineStr">
        <is>
          <t>merged</t>
        </is>
      </c>
      <c r="J3541" t="inlineStr"/>
      <c r="K3541" t="inlineStr"/>
      <c r="L3541" t="inlineStr"/>
      <c r="M3541" t="inlineStr"/>
      <c r="N3541" t="inlineStr"/>
      <c r="O3541" t="inlineStr"/>
      <c r="P3541" t="inlineStr"/>
      <c r="Q3541" t="inlineStr"/>
    </row>
    <row r="3542">
      <c r="A3542" t="inlineStr">
        <is>
          <t>vaibhav.v</t>
        </is>
      </c>
      <c r="B3542" t="inlineStr">
        <is>
          <t>Vaibhav Varun</t>
        </is>
      </c>
      <c r="C3542" t="inlineStr">
        <is>
          <t>vaibhav.v@osmosys.co</t>
        </is>
      </c>
      <c r="D3542" t="inlineStr">
        <is>
          <t>incident-reporter</t>
        </is>
      </c>
      <c r="E3542">
        <f>HYPERLINK("http://gitlab.osmosys.co/incident-reporter/incident-reporter-angular-portal", "OQSHA Portal")</f>
        <v/>
      </c>
      <c r="F3542">
        <f>HYPERLINK("http://gitlab.osmosys.co/incident-reporter/incident-reporter-angular-portal/-/merge_requests/3415", "feat: add condition assign to")</f>
        <v/>
      </c>
      <c r="G3542" t="inlineStr">
        <is>
          <t>feat/assign-user</t>
        </is>
      </c>
      <c r="H3542" t="inlineStr">
        <is>
          <t>sprint-17</t>
        </is>
      </c>
      <c r="I3542" t="inlineStr">
        <is>
          <t>merged</t>
        </is>
      </c>
      <c r="J3542" t="inlineStr"/>
      <c r="K3542" t="inlineStr"/>
      <c r="L3542" t="inlineStr"/>
      <c r="M3542" t="inlineStr"/>
      <c r="N3542" t="inlineStr"/>
      <c r="O3542" t="inlineStr"/>
      <c r="P3542" t="inlineStr"/>
      <c r="Q3542" t="inlineStr"/>
    </row>
    <row r="3543">
      <c r="A3543" t="inlineStr">
        <is>
          <t>vaibhav.v</t>
        </is>
      </c>
      <c r="B3543" t="inlineStr">
        <is>
          <t>Vaibhav Varun</t>
        </is>
      </c>
      <c r="C3543" t="inlineStr">
        <is>
          <t>vaibhav.v@osmosys.co</t>
        </is>
      </c>
      <c r="D3543" t="inlineStr">
        <is>
          <t>incident-reporter</t>
        </is>
      </c>
      <c r="E3543">
        <f>HYPERLINK("http://gitlab.osmosys.co/incident-reporter/incident-reporter-angular-portal", "OQSHA Portal")</f>
        <v/>
      </c>
      <c r="F3543">
        <f>HYPERLINK("http://gitlab.osmosys.co/incident-reporter/incident-reporter-angular-portal/-/merge_requests/3410", "feat: add custom assign to in tickets")</f>
        <v/>
      </c>
      <c r="G3543" t="inlineStr">
        <is>
          <t>feat/custom-assign</t>
        </is>
      </c>
      <c r="H3543" t="inlineStr">
        <is>
          <t>sprint-17</t>
        </is>
      </c>
      <c r="I3543" t="inlineStr">
        <is>
          <t>merged</t>
        </is>
      </c>
      <c r="J3543" t="inlineStr"/>
      <c r="K3543" t="inlineStr"/>
      <c r="L3543" t="inlineStr"/>
      <c r="M3543" t="inlineStr"/>
      <c r="N3543" t="inlineStr"/>
      <c r="O3543" t="inlineStr"/>
      <c r="P3543" t="inlineStr"/>
      <c r="Q3543" t="inlineStr"/>
    </row>
    <row r="3544">
      <c r="A3544" t="inlineStr">
        <is>
          <t>vaibhav.v</t>
        </is>
      </c>
      <c r="B3544" t="inlineStr">
        <is>
          <t>Vaibhav Varun</t>
        </is>
      </c>
      <c r="C3544" t="inlineStr">
        <is>
          <t>vaibhav.v@osmosys.co</t>
        </is>
      </c>
      <c r="D3544" t="inlineStr">
        <is>
          <t>incident-reporter</t>
        </is>
      </c>
      <c r="E3544">
        <f>HYPERLINK("http://gitlab.osmosys.co/incident-reporter/incident-reporter-angular-portal", "OQSHA Portal")</f>
        <v/>
      </c>
      <c r="F3544">
        <f>HYPERLINK("http://gitlab.osmosys.co/incident-reporter/incident-reporter-angular-portal/-/merge_requests/3400", "feat: add department in hira module")</f>
        <v/>
      </c>
      <c r="G3544" t="inlineStr">
        <is>
          <t>feat/hira-department</t>
        </is>
      </c>
      <c r="H3544" t="inlineStr">
        <is>
          <t>sprint-17</t>
        </is>
      </c>
      <c r="I3544" t="inlineStr">
        <is>
          <t>merged</t>
        </is>
      </c>
      <c r="J3544" t="inlineStr">
        <is>
          <t>723b499fbdd462f378de2ebd19cb1a2538ab38b0</t>
        </is>
      </c>
      <c r="K3544">
        <f>HYPERLINK("http://gitlab.osmosys.co/incident-reporter/incident-reporter-angular-portal/-/merge_requests/3400#note_234547", "Merge conflicts")</f>
        <v/>
      </c>
      <c r="L3544" t="inlineStr">
        <is>
          <t>2025-07-10 21:45:30.005 IST</t>
        </is>
      </c>
      <c r="M3544" t="inlineStr">
        <is>
          <t>Soundariya B</t>
        </is>
      </c>
      <c r="N3544" t="inlineStr">
        <is>
          <t>Yes</t>
        </is>
      </c>
      <c r="O3544" t="inlineStr">
        <is>
          <t>Yes</t>
        </is>
      </c>
      <c r="P3544" t="inlineStr">
        <is>
          <t>Soundariya B</t>
        </is>
      </c>
      <c r="Q3544" t="inlineStr">
        <is>
          <t>Bad</t>
        </is>
      </c>
    </row>
    <row r="3545">
      <c r="A3545" t="inlineStr">
        <is>
          <t>vaibhav.v</t>
        </is>
      </c>
      <c r="B3545" t="inlineStr">
        <is>
          <t>Vaibhav Varun</t>
        </is>
      </c>
      <c r="C3545" t="inlineStr">
        <is>
          <t>vaibhav.v@osmosys.co</t>
        </is>
      </c>
      <c r="D3545" t="inlineStr">
        <is>
          <t>incident-reporter</t>
        </is>
      </c>
      <c r="E3545">
        <f>HYPERLINK("http://gitlab.osmosys.co/incident-reporter/incident-reporter-angular-portal", "OQSHA Portal")</f>
        <v/>
      </c>
      <c r="F3545">
        <f>HYPERLINK("http://gitlab.osmosys.co/incident-reporter/incident-reporter-angular-portal/-/merge_requests/3400", "feat: add department in hira module")</f>
        <v/>
      </c>
      <c r="G3545" t="inlineStr">
        <is>
          <t>feat/hira-department</t>
        </is>
      </c>
      <c r="H3545" t="inlineStr">
        <is>
          <t>sprint-17</t>
        </is>
      </c>
      <c r="I3545" t="inlineStr">
        <is>
          <t>merged</t>
        </is>
      </c>
      <c r="J3545" t="inlineStr">
        <is>
          <t>c36e9bfe6df6104d0e8f6f57a95edacdf759bb03</t>
        </is>
      </c>
      <c r="K3545">
        <f>HYPERLINK("http://gitlab.osmosys.co/incident-reporter/incident-reporter-angular-portal/-/merge_requests/3400#note_234548", "It should be lbl-heading")</f>
        <v/>
      </c>
      <c r="L3545" t="inlineStr">
        <is>
          <t>2025-07-10 21:45:30.059 IST</t>
        </is>
      </c>
      <c r="M3545" t="inlineStr">
        <is>
          <t>Soundariya B</t>
        </is>
      </c>
      <c r="N3545" t="inlineStr">
        <is>
          <t>Yes</t>
        </is>
      </c>
      <c r="O3545" t="inlineStr">
        <is>
          <t>Yes</t>
        </is>
      </c>
      <c r="P3545" t="inlineStr">
        <is>
          <t>Soundariya B</t>
        </is>
      </c>
      <c r="Q3545" t="inlineStr">
        <is>
          <t>Bad</t>
        </is>
      </c>
    </row>
    <row r="3546">
      <c r="A3546" t="inlineStr">
        <is>
          <t>vaibhav.v</t>
        </is>
      </c>
      <c r="B3546" t="inlineStr">
        <is>
          <t>Vaibhav Varun</t>
        </is>
      </c>
      <c r="C3546" t="inlineStr">
        <is>
          <t>vaibhav.v@osmosys.co</t>
        </is>
      </c>
      <c r="D3546" t="inlineStr">
        <is>
          <t>incident-reporter</t>
        </is>
      </c>
      <c r="E3546">
        <f>HYPERLINK("http://gitlab.osmosys.co/incident-reporter/incident-reporter-angular-portal", "OQSHA Portal")</f>
        <v/>
      </c>
      <c r="F3546">
        <f>HYPERLINK("http://gitlab.osmosys.co/incident-reporter/incident-reporter-angular-portal/-/merge_requests/3400", "feat: add department in hira module")</f>
        <v/>
      </c>
      <c r="G3546" t="inlineStr">
        <is>
          <t>feat/hira-department</t>
        </is>
      </c>
      <c r="H3546" t="inlineStr">
        <is>
          <t>sprint-17</t>
        </is>
      </c>
      <c r="I3546" t="inlineStr">
        <is>
          <t>merged</t>
        </is>
      </c>
      <c r="J3546" t="inlineStr">
        <is>
          <t>c36e9bfe6df6104d0e8f6f57a95edacdf759bb03</t>
        </is>
      </c>
      <c r="K3546">
        <f>HYPERLINK("http://gitlab.osmosys.co/incident-reporter/incident-reporter-angular-portal/-/merge_requests/3400#note_234600", "Changed")</f>
        <v/>
      </c>
      <c r="L3546" t="inlineStr">
        <is>
          <t>2025-07-10 23:16:55.946 IST</t>
        </is>
      </c>
      <c r="M3546" t="inlineStr">
        <is>
          <t>Vaibhav Varun</t>
        </is>
      </c>
      <c r="N3546" t="inlineStr">
        <is>
          <t>No</t>
        </is>
      </c>
      <c r="O3546" t="inlineStr">
        <is>
          <t>Yes</t>
        </is>
      </c>
      <c r="P3546" t="inlineStr">
        <is>
          <t>Soundariya B</t>
        </is>
      </c>
      <c r="Q3546" t="inlineStr">
        <is>
          <t>Bad</t>
        </is>
      </c>
    </row>
    <row r="3547">
      <c r="A3547" t="inlineStr">
        <is>
          <t>vaibhav.v</t>
        </is>
      </c>
      <c r="B3547" t="inlineStr">
        <is>
          <t>Vaibhav Varun</t>
        </is>
      </c>
      <c r="C3547" t="inlineStr">
        <is>
          <t>vaibhav.v@osmosys.co</t>
        </is>
      </c>
      <c r="D3547" t="inlineStr">
        <is>
          <t>incident-reporter</t>
        </is>
      </c>
      <c r="E3547">
        <f>HYPERLINK("http://gitlab.osmosys.co/incident-reporter/incident-reporter-angular-portal", "OQSHA Portal")</f>
        <v/>
      </c>
      <c r="F3547">
        <f>HYPERLINK("http://gitlab.osmosys.co/incident-reporter/incident-reporter-angular-portal/-/merge_requests/3400", "feat: add department in hira module")</f>
        <v/>
      </c>
      <c r="G3547" t="inlineStr">
        <is>
          <t>feat/hira-department</t>
        </is>
      </c>
      <c r="H3547" t="inlineStr">
        <is>
          <t>sprint-17</t>
        </is>
      </c>
      <c r="I3547" t="inlineStr">
        <is>
          <t>merged</t>
        </is>
      </c>
      <c r="J3547" t="inlineStr">
        <is>
          <t>3962a10f14f3564c3036c077619ae6dd5da4f05b</t>
        </is>
      </c>
      <c r="K3547">
        <f>HYPERLINK("http://gitlab.osmosys.co/incident-reporter/incident-reporter-angular-portal/-/merge_requests/3400#note_234549", "This can be done at last of this method with 1 time instead of 2 times")</f>
        <v/>
      </c>
      <c r="L3547" t="inlineStr">
        <is>
          <t>2025-07-10 21:45:30.147 IST</t>
        </is>
      </c>
      <c r="M3547" t="inlineStr">
        <is>
          <t>Soundariya B</t>
        </is>
      </c>
      <c r="N3547" t="inlineStr">
        <is>
          <t>Yes</t>
        </is>
      </c>
      <c r="O3547" t="inlineStr">
        <is>
          <t>Yes</t>
        </is>
      </c>
      <c r="P3547" t="inlineStr">
        <is>
          <t>Soundariya B</t>
        </is>
      </c>
      <c r="Q3547" t="inlineStr">
        <is>
          <t>Bad</t>
        </is>
      </c>
    </row>
    <row r="3548">
      <c r="A3548" t="inlineStr">
        <is>
          <t>vaibhav.v</t>
        </is>
      </c>
      <c r="B3548" t="inlineStr">
        <is>
          <t>Vaibhav Varun</t>
        </is>
      </c>
      <c r="C3548" t="inlineStr">
        <is>
          <t>vaibhav.v@osmosys.co</t>
        </is>
      </c>
      <c r="D3548" t="inlineStr">
        <is>
          <t>incident-reporter</t>
        </is>
      </c>
      <c r="E3548">
        <f>HYPERLINK("http://gitlab.osmosys.co/incident-reporter/incident-reporter-angular-portal", "OQSHA Portal")</f>
        <v/>
      </c>
      <c r="F3548">
        <f>HYPERLINK("http://gitlab.osmosys.co/incident-reporter/incident-reporter-angular-portal/-/merge_requests/3400", "feat: add department in hira module")</f>
        <v/>
      </c>
      <c r="G3548" t="inlineStr">
        <is>
          <t>feat/hira-department</t>
        </is>
      </c>
      <c r="H3548" t="inlineStr">
        <is>
          <t>sprint-17</t>
        </is>
      </c>
      <c r="I3548" t="inlineStr">
        <is>
          <t>merged</t>
        </is>
      </c>
      <c r="J3548" t="inlineStr">
        <is>
          <t>3962a10f14f3564c3036c077619ae6dd5da4f05b</t>
        </is>
      </c>
      <c r="K3548">
        <f>HYPERLINK("http://gitlab.osmosys.co/incident-reporter/incident-reporter-angular-portal/-/merge_requests/3400#note_234601", "Changed code")</f>
        <v/>
      </c>
      <c r="L3548" t="inlineStr">
        <is>
          <t>2025-07-10 23:19:16.541 IST</t>
        </is>
      </c>
      <c r="M3548" t="inlineStr">
        <is>
          <t>Vaibhav Varun</t>
        </is>
      </c>
      <c r="N3548" t="inlineStr">
        <is>
          <t>No</t>
        </is>
      </c>
      <c r="O3548" t="inlineStr">
        <is>
          <t>Yes</t>
        </is>
      </c>
      <c r="P3548" t="inlineStr">
        <is>
          <t>Soundariya B</t>
        </is>
      </c>
      <c r="Q3548" t="inlineStr">
        <is>
          <t>Bad</t>
        </is>
      </c>
    </row>
    <row r="3549">
      <c r="A3549" t="inlineStr">
        <is>
          <t>vaibhav.v</t>
        </is>
      </c>
      <c r="B3549" t="inlineStr">
        <is>
          <t>Vaibhav Varun</t>
        </is>
      </c>
      <c r="C3549" t="inlineStr">
        <is>
          <t>vaibhav.v@osmosys.co</t>
        </is>
      </c>
      <c r="D3549" t="inlineStr">
        <is>
          <t>incident-reporter</t>
        </is>
      </c>
      <c r="E3549">
        <f>HYPERLINK("http://gitlab.osmosys.co/incident-reporter/incident-reporter-angular-portal", "OQSHA Portal")</f>
        <v/>
      </c>
      <c r="F3549">
        <f>HYPERLINK("http://gitlab.osmosys.co/incident-reporter/incident-reporter-angular-portal/-/merge_requests/3400", "feat: add department in hira module")</f>
        <v/>
      </c>
      <c r="G3549" t="inlineStr">
        <is>
          <t>feat/hira-department</t>
        </is>
      </c>
      <c r="H3549" t="inlineStr">
        <is>
          <t>sprint-17</t>
        </is>
      </c>
      <c r="I3549" t="inlineStr">
        <is>
          <t>merged</t>
        </is>
      </c>
      <c r="J3549" t="inlineStr">
        <is>
          <t>ba9273f65f0159f6f4a0dcf371a3739e57026489</t>
        </is>
      </c>
      <c r="K3549">
        <f>HYPERLINK("http://gitlab.osmosys.co/incident-reporter/incident-reporter-angular-portal/-/merge_requests/3400#note_234550", "This can be done in else block I think")</f>
        <v/>
      </c>
      <c r="L3549" t="inlineStr">
        <is>
          <t>2025-07-10 21:45:30.221 IST</t>
        </is>
      </c>
      <c r="M3549" t="inlineStr">
        <is>
          <t>Soundariya B</t>
        </is>
      </c>
      <c r="N3549" t="inlineStr">
        <is>
          <t>Yes</t>
        </is>
      </c>
      <c r="O3549" t="inlineStr">
        <is>
          <t>Yes</t>
        </is>
      </c>
      <c r="P3549" t="inlineStr">
        <is>
          <t>Soundariya B</t>
        </is>
      </c>
      <c r="Q3549" t="inlineStr">
        <is>
          <t>Bad</t>
        </is>
      </c>
    </row>
    <row r="3550">
      <c r="A3550" t="inlineStr">
        <is>
          <t>vaibhav.v</t>
        </is>
      </c>
      <c r="B3550" t="inlineStr">
        <is>
          <t>Vaibhav Varun</t>
        </is>
      </c>
      <c r="C3550" t="inlineStr">
        <is>
          <t>vaibhav.v@osmosys.co</t>
        </is>
      </c>
      <c r="D3550" t="inlineStr">
        <is>
          <t>incident-reporter</t>
        </is>
      </c>
      <c r="E3550">
        <f>HYPERLINK("http://gitlab.osmosys.co/incident-reporter/incident-reporter-angular-portal", "OQSHA Portal")</f>
        <v/>
      </c>
      <c r="F3550">
        <f>HYPERLINK("http://gitlab.osmosys.co/incident-reporter/incident-reporter-angular-portal/-/merge_requests/3400", "feat: add department in hira module")</f>
        <v/>
      </c>
      <c r="G3550" t="inlineStr">
        <is>
          <t>feat/hira-department</t>
        </is>
      </c>
      <c r="H3550" t="inlineStr">
        <is>
          <t>sprint-17</t>
        </is>
      </c>
      <c r="I3550" t="inlineStr">
        <is>
          <t>merged</t>
        </is>
      </c>
      <c r="J3550" t="inlineStr">
        <is>
          <t>ba9273f65f0159f6f4a0dcf371a3739e57026489</t>
        </is>
      </c>
      <c r="K3550">
        <f>HYPERLINK("http://gitlab.osmosys.co/incident-reporter/incident-reporter-angular-portal/-/merge_requests/3400#note_234602", "Changed code")</f>
        <v/>
      </c>
      <c r="L3550" t="inlineStr">
        <is>
          <t>2025-07-10 23:20:09.722 IST</t>
        </is>
      </c>
      <c r="M3550" t="inlineStr">
        <is>
          <t>Vaibhav Varun</t>
        </is>
      </c>
      <c r="N3550" t="inlineStr">
        <is>
          <t>No</t>
        </is>
      </c>
      <c r="O3550" t="inlineStr">
        <is>
          <t>Yes</t>
        </is>
      </c>
      <c r="P3550" t="inlineStr">
        <is>
          <t>Soundariya B</t>
        </is>
      </c>
      <c r="Q3550" t="inlineStr">
        <is>
          <t>Bad</t>
        </is>
      </c>
    </row>
    <row r="3551">
      <c r="A3551" t="inlineStr">
        <is>
          <t>vaibhav.v</t>
        </is>
      </c>
      <c r="B3551" t="inlineStr">
        <is>
          <t>Vaibhav Varun</t>
        </is>
      </c>
      <c r="C3551" t="inlineStr">
        <is>
          <t>vaibhav.v@osmosys.co</t>
        </is>
      </c>
      <c r="D3551" t="inlineStr">
        <is>
          <t>incident-reporter</t>
        </is>
      </c>
      <c r="E3551">
        <f>HYPERLINK("http://gitlab.osmosys.co/incident-reporter/incident-reporter-angular-portal", "OQSHA Portal")</f>
        <v/>
      </c>
      <c r="F3551">
        <f>HYPERLINK("http://gitlab.osmosys.co/incident-reporter/incident-reporter-angular-portal/-/merge_requests/3400", "feat: add department in hira module")</f>
        <v/>
      </c>
      <c r="G3551" t="inlineStr">
        <is>
          <t>feat/hira-department</t>
        </is>
      </c>
      <c r="H3551" t="inlineStr">
        <is>
          <t>sprint-17</t>
        </is>
      </c>
      <c r="I3551" t="inlineStr">
        <is>
          <t>merged</t>
        </is>
      </c>
      <c r="J3551" t="inlineStr">
        <is>
          <t>4e06ae6415715299e91fe98346e1c30c7606c570</t>
        </is>
      </c>
      <c r="K3551">
        <f>HYPERLINK("http://gitlab.osmosys.co/incident-reporter/incident-reporter-angular-portal/-/merge_requests/3400#note_234551", "For good practice, you should store and then use it instead of doing all logic as if the condition expression")</f>
        <v/>
      </c>
      <c r="L3551" t="inlineStr">
        <is>
          <t>2025-07-10 21:45:30.302 IST</t>
        </is>
      </c>
      <c r="M3551" t="inlineStr">
        <is>
          <t>Soundariya B</t>
        </is>
      </c>
      <c r="N3551" t="inlineStr">
        <is>
          <t>Yes</t>
        </is>
      </c>
      <c r="O3551" t="inlineStr">
        <is>
          <t>Yes</t>
        </is>
      </c>
      <c r="P3551" t="inlineStr">
        <is>
          <t>Soundariya B</t>
        </is>
      </c>
      <c r="Q3551" t="inlineStr">
        <is>
          <t>Neutral</t>
        </is>
      </c>
    </row>
    <row r="3552">
      <c r="A3552" t="inlineStr">
        <is>
          <t>vaibhav.v</t>
        </is>
      </c>
      <c r="B3552" t="inlineStr">
        <is>
          <t>Vaibhav Varun</t>
        </is>
      </c>
      <c r="C3552" t="inlineStr">
        <is>
          <t>vaibhav.v@osmosys.co</t>
        </is>
      </c>
      <c r="D3552" t="inlineStr">
        <is>
          <t>incident-reporter</t>
        </is>
      </c>
      <c r="E3552">
        <f>HYPERLINK("http://gitlab.osmosys.co/incident-reporter/incident-reporter-angular-portal", "OQSHA Portal")</f>
        <v/>
      </c>
      <c r="F3552">
        <f>HYPERLINK("http://gitlab.osmosys.co/incident-reporter/incident-reporter-angular-portal/-/merge_requests/3400", "feat: add department in hira module")</f>
        <v/>
      </c>
      <c r="G3552" t="inlineStr">
        <is>
          <t>feat/hira-department</t>
        </is>
      </c>
      <c r="H3552" t="inlineStr">
        <is>
          <t>sprint-17</t>
        </is>
      </c>
      <c r="I3552" t="inlineStr">
        <is>
          <t>merged</t>
        </is>
      </c>
      <c r="J3552" t="inlineStr">
        <is>
          <t>4e06ae6415715299e91fe98346e1c30c7606c570</t>
        </is>
      </c>
      <c r="K3552">
        <f>HYPERLINK("http://gitlab.osmosys.co/incident-reporter/incident-reporter-angular-portal/-/merge_requests/3400#note_234603", "I had to adjust few things based on previous dev's logic, so for now did this.")</f>
        <v/>
      </c>
      <c r="L3552" t="inlineStr">
        <is>
          <t>2025-07-10 23:21:30.140 IST</t>
        </is>
      </c>
      <c r="M3552" t="inlineStr">
        <is>
          <t>Vaibhav Varun</t>
        </is>
      </c>
      <c r="N3552" t="inlineStr">
        <is>
          <t>No</t>
        </is>
      </c>
      <c r="O3552" t="inlineStr">
        <is>
          <t>Yes</t>
        </is>
      </c>
      <c r="P3552" t="inlineStr">
        <is>
          <t>Soundariya B</t>
        </is>
      </c>
      <c r="Q3552" t="inlineStr">
        <is>
          <t>Neutral</t>
        </is>
      </c>
    </row>
    <row r="3553">
      <c r="A3553" t="inlineStr">
        <is>
          <t>vaibhav.v</t>
        </is>
      </c>
      <c r="B3553" t="inlineStr">
        <is>
          <t>Vaibhav Varun</t>
        </is>
      </c>
      <c r="C3553" t="inlineStr">
        <is>
          <t>vaibhav.v@osmosys.co</t>
        </is>
      </c>
      <c r="D3553" t="inlineStr">
        <is>
          <t>incident-reporter</t>
        </is>
      </c>
      <c r="E3553">
        <f>HYPERLINK("http://gitlab.osmosys.co/incident-reporter/incident-reporter-angular-portal", "OQSHA Portal")</f>
        <v/>
      </c>
      <c r="F3553">
        <f>HYPERLINK("http://gitlab.osmosys.co/incident-reporter/incident-reporter-angular-portal/-/merge_requests/3400", "feat: add department in hira module")</f>
        <v/>
      </c>
      <c r="G3553" t="inlineStr">
        <is>
          <t>feat/hira-department</t>
        </is>
      </c>
      <c r="H3553" t="inlineStr">
        <is>
          <t>sprint-17</t>
        </is>
      </c>
      <c r="I3553" t="inlineStr">
        <is>
          <t>merged</t>
        </is>
      </c>
      <c r="J3553" t="inlineStr">
        <is>
          <t>c25e6bc74b21cd2325bcb90c39cdea89b65b4b7d</t>
        </is>
      </c>
      <c r="K3553">
        <f>HYPERLINK("http://gitlab.osmosys.co/incident-reporter/incident-reporter-angular-portal/-/merge_requests/3400#note_234552", "Same here as the above comment and these lines of code using two times so its better to define then function with improvised way in this file and use it where is required")</f>
        <v/>
      </c>
      <c r="L3553" t="inlineStr">
        <is>
          <t>2025-07-10 21:45:30.363 IST</t>
        </is>
      </c>
      <c r="M3553" t="inlineStr">
        <is>
          <t>Soundariya B</t>
        </is>
      </c>
      <c r="N3553" t="inlineStr">
        <is>
          <t>Yes</t>
        </is>
      </c>
      <c r="O3553" t="inlineStr">
        <is>
          <t>Yes</t>
        </is>
      </c>
      <c r="P3553" t="inlineStr">
        <is>
          <t>Soundariya B</t>
        </is>
      </c>
      <c r="Q3553" t="inlineStr">
        <is>
          <t>Neutral</t>
        </is>
      </c>
    </row>
    <row r="3554">
      <c r="A3554" t="inlineStr">
        <is>
          <t>vaibhav.v</t>
        </is>
      </c>
      <c r="B3554" t="inlineStr">
        <is>
          <t>Vaibhav Varun</t>
        </is>
      </c>
      <c r="C3554" t="inlineStr">
        <is>
          <t>vaibhav.v@osmosys.co</t>
        </is>
      </c>
      <c r="D3554" t="inlineStr">
        <is>
          <t>incident-reporter</t>
        </is>
      </c>
      <c r="E3554">
        <f>HYPERLINK("http://gitlab.osmosys.co/incident-reporter/incident-reporter-angular-portal", "OQSHA Portal")</f>
        <v/>
      </c>
      <c r="F3554">
        <f>HYPERLINK("http://gitlab.osmosys.co/incident-reporter/incident-reporter-angular-portal/-/merge_requests/3400", "feat: add department in hira module")</f>
        <v/>
      </c>
      <c r="G3554" t="inlineStr">
        <is>
          <t>feat/hira-department</t>
        </is>
      </c>
      <c r="H3554" t="inlineStr">
        <is>
          <t>sprint-17</t>
        </is>
      </c>
      <c r="I3554" t="inlineStr">
        <is>
          <t>merged</t>
        </is>
      </c>
      <c r="J3554" t="inlineStr">
        <is>
          <t>c25e6bc74b21cd2325bcb90c39cdea89b65b4b7d</t>
        </is>
      </c>
      <c r="K3554">
        <f>HYPERLINK("http://gitlab.osmosys.co/incident-reporter/incident-reporter-angular-portal/-/merge_requests/3400#note_234604", "I don't think function is required here, both are different instances of currentFilters each pertaining to its individual code block, for now kept as it is.")</f>
        <v/>
      </c>
      <c r="L3554" t="inlineStr">
        <is>
          <t>2025-07-10 23:23:00.939 IST</t>
        </is>
      </c>
      <c r="M3554" t="inlineStr">
        <is>
          <t>Vaibhav Varun</t>
        </is>
      </c>
      <c r="N3554" t="inlineStr">
        <is>
          <t>No</t>
        </is>
      </c>
      <c r="O3554" t="inlineStr">
        <is>
          <t>Yes</t>
        </is>
      </c>
      <c r="P3554" t="inlineStr">
        <is>
          <t>Soundariya B</t>
        </is>
      </c>
      <c r="Q3554" t="inlineStr">
        <is>
          <t>Neutral</t>
        </is>
      </c>
    </row>
    <row r="3555">
      <c r="A3555" t="inlineStr">
        <is>
          <t>vaibhav.v</t>
        </is>
      </c>
      <c r="B3555" t="inlineStr">
        <is>
          <t>Vaibhav Varun</t>
        </is>
      </c>
      <c r="C3555" t="inlineStr">
        <is>
          <t>vaibhav.v@osmosys.co</t>
        </is>
      </c>
      <c r="D3555" t="inlineStr">
        <is>
          <t>incident-reporter</t>
        </is>
      </c>
      <c r="E3555">
        <f>HYPERLINK("http://gitlab.osmosys.co/incident-reporter/incident-reporter-angular-portal", "OQSHA Portal")</f>
        <v/>
      </c>
      <c r="F3555">
        <f>HYPERLINK("http://gitlab.osmosys.co/incident-reporter/incident-reporter-angular-portal/-/merge_requests/3400", "feat: add department in hira module")</f>
        <v/>
      </c>
      <c r="G3555" t="inlineStr">
        <is>
          <t>feat/hira-department</t>
        </is>
      </c>
      <c r="H3555" t="inlineStr">
        <is>
          <t>sprint-17</t>
        </is>
      </c>
      <c r="I3555" t="inlineStr">
        <is>
          <t>merged</t>
        </is>
      </c>
      <c r="J3555" t="inlineStr">
        <is>
          <t>255ef3117d476f2a5adc2132e173f7ca26ca7e5d</t>
        </is>
      </c>
      <c r="K3555">
        <f>HYPERLINK("http://gitlab.osmosys.co/incident-reporter/incident-reporter-angular-portal/-/merge_requests/3400#note_234553", "Use meaningful variables")</f>
        <v/>
      </c>
      <c r="L3555" t="inlineStr">
        <is>
          <t>2025-07-10 21:45:30.441 IST</t>
        </is>
      </c>
      <c r="M3555" t="inlineStr">
        <is>
          <t>Soundariya B</t>
        </is>
      </c>
      <c r="N3555" t="inlineStr">
        <is>
          <t>Yes</t>
        </is>
      </c>
      <c r="O3555" t="inlineStr">
        <is>
          <t>Yes</t>
        </is>
      </c>
      <c r="P3555" t="inlineStr">
        <is>
          <t>Soundariya B</t>
        </is>
      </c>
      <c r="Q3555" t="inlineStr">
        <is>
          <t>Bad</t>
        </is>
      </c>
    </row>
    <row r="3556">
      <c r="A3556" t="inlineStr">
        <is>
          <t>vaibhav.v</t>
        </is>
      </c>
      <c r="B3556" t="inlineStr">
        <is>
          <t>Vaibhav Varun</t>
        </is>
      </c>
      <c r="C3556" t="inlineStr">
        <is>
          <t>vaibhav.v@osmosys.co</t>
        </is>
      </c>
      <c r="D3556" t="inlineStr">
        <is>
          <t>incident-reporter</t>
        </is>
      </c>
      <c r="E3556">
        <f>HYPERLINK("http://gitlab.osmosys.co/incident-reporter/incident-reporter-angular-portal", "OQSHA Portal")</f>
        <v/>
      </c>
      <c r="F3556">
        <f>HYPERLINK("http://gitlab.osmosys.co/incident-reporter/incident-reporter-angular-portal/-/merge_requests/3400", "feat: add department in hira module")</f>
        <v/>
      </c>
      <c r="G3556" t="inlineStr">
        <is>
          <t>feat/hira-department</t>
        </is>
      </c>
      <c r="H3556" t="inlineStr">
        <is>
          <t>sprint-17</t>
        </is>
      </c>
      <c r="I3556" t="inlineStr">
        <is>
          <t>merged</t>
        </is>
      </c>
      <c r="J3556" t="inlineStr">
        <is>
          <t>255ef3117d476f2a5adc2132e173f7ca26ca7e5d</t>
        </is>
      </c>
      <c r="K3556">
        <f>HYPERLINK("http://gitlab.osmosys.co/incident-reporter/incident-reporter-angular-portal/-/merge_requests/3400#note_234605", "Changed")</f>
        <v/>
      </c>
      <c r="L3556" t="inlineStr">
        <is>
          <t>2025-07-10 23:24:18.774 IST</t>
        </is>
      </c>
      <c r="M3556" t="inlineStr">
        <is>
          <t>Vaibhav Varun</t>
        </is>
      </c>
      <c r="N3556" t="inlineStr">
        <is>
          <t>No</t>
        </is>
      </c>
      <c r="O3556" t="inlineStr">
        <is>
          <t>Yes</t>
        </is>
      </c>
      <c r="P3556" t="inlineStr">
        <is>
          <t>Soundariya B</t>
        </is>
      </c>
      <c r="Q3556" t="inlineStr">
        <is>
          <t>Bad</t>
        </is>
      </c>
    </row>
    <row r="3557">
      <c r="A3557" t="inlineStr">
        <is>
          <t>vaibhav.v</t>
        </is>
      </c>
      <c r="B3557" t="inlineStr">
        <is>
          <t>Vaibhav Varun</t>
        </is>
      </c>
      <c r="C3557" t="inlineStr">
        <is>
          <t>vaibhav.v@osmosys.co</t>
        </is>
      </c>
      <c r="D3557" t="inlineStr">
        <is>
          <t>incident-reporter</t>
        </is>
      </c>
      <c r="E3557">
        <f>HYPERLINK("http://gitlab.osmosys.co/incident-reporter/incident-reporter-angular-portal", "OQSHA Portal")</f>
        <v/>
      </c>
      <c r="F3557">
        <f>HYPERLINK("http://gitlab.osmosys.co/incident-reporter/incident-reporter-angular-portal/-/merge_requests/3393", "feat: add department in ptw")</f>
        <v/>
      </c>
      <c r="G3557" t="inlineStr">
        <is>
          <t>feat/add-department</t>
        </is>
      </c>
      <c r="H3557" t="inlineStr">
        <is>
          <t>sprint-17</t>
        </is>
      </c>
      <c r="I3557" t="inlineStr">
        <is>
          <t>merged</t>
        </is>
      </c>
      <c r="J3557" t="inlineStr">
        <is>
          <t>5446ccaae01d3464503a343a8c938739536e3cc0</t>
        </is>
      </c>
      <c r="K3557">
        <f>HYPERLINK("http://gitlab.osmosys.co/incident-reporter/incident-reporter-angular-portal/-/merge_requests/3393#note_234815", "Merge conflicts")</f>
        <v/>
      </c>
      <c r="L3557" t="inlineStr">
        <is>
          <t>2025-07-11 01:11:00.288 IST</t>
        </is>
      </c>
      <c r="M3557" t="inlineStr">
        <is>
          <t>Soundariya B</t>
        </is>
      </c>
      <c r="N3557" t="inlineStr">
        <is>
          <t>Yes</t>
        </is>
      </c>
      <c r="O3557" t="inlineStr">
        <is>
          <t>Yes</t>
        </is>
      </c>
      <c r="P3557" t="inlineStr">
        <is>
          <t>Raj Kumar</t>
        </is>
      </c>
      <c r="Q3557" t="inlineStr">
        <is>
          <t>Bad</t>
        </is>
      </c>
    </row>
    <row r="3558">
      <c r="A3558" t="inlineStr">
        <is>
          <t>vaibhav.v</t>
        </is>
      </c>
      <c r="B3558" t="inlineStr">
        <is>
          <t>Vaibhav Varun</t>
        </is>
      </c>
      <c r="C3558" t="inlineStr">
        <is>
          <t>vaibhav.v@osmosys.co</t>
        </is>
      </c>
      <c r="D3558" t="inlineStr">
        <is>
          <t>incident-reporter</t>
        </is>
      </c>
      <c r="E3558">
        <f>HYPERLINK("http://gitlab.osmosys.co/incident-reporter/incident-reporter-angular-portal", "OQSHA Portal")</f>
        <v/>
      </c>
      <c r="F3558">
        <f>HYPERLINK("http://gitlab.osmosys.co/incident-reporter/incident-reporter-angular-portal/-/merge_requests/3393", "feat: add department in ptw")</f>
        <v/>
      </c>
      <c r="G3558" t="inlineStr">
        <is>
          <t>feat/add-department</t>
        </is>
      </c>
      <c r="H3558" t="inlineStr">
        <is>
          <t>sprint-17</t>
        </is>
      </c>
      <c r="I3558" t="inlineStr">
        <is>
          <t>merged</t>
        </is>
      </c>
      <c r="J3558" t="inlineStr">
        <is>
          <t>5446ccaae01d3464503a343a8c938739536e3cc0</t>
        </is>
      </c>
      <c r="K3558">
        <f>HYPERLINK("http://gitlab.osmosys.co/incident-reporter/incident-reporter-angular-portal/-/merge_requests/3393#note_234896", "resolved")</f>
        <v/>
      </c>
      <c r="L3558" t="inlineStr">
        <is>
          <t>2025-07-11 08:38:00.103 IST</t>
        </is>
      </c>
      <c r="M3558" t="inlineStr">
        <is>
          <t>Vaibhav Varun</t>
        </is>
      </c>
      <c r="N3558" t="inlineStr">
        <is>
          <t>No</t>
        </is>
      </c>
      <c r="O3558" t="inlineStr">
        <is>
          <t>Yes</t>
        </is>
      </c>
      <c r="P3558" t="inlineStr">
        <is>
          <t>Raj Kumar</t>
        </is>
      </c>
      <c r="Q3558" t="inlineStr">
        <is>
          <t>Bad</t>
        </is>
      </c>
    </row>
    <row r="3559">
      <c r="A3559" t="inlineStr">
        <is>
          <t>vaibhav.v</t>
        </is>
      </c>
      <c r="B3559" t="inlineStr">
        <is>
          <t>Vaibhav Varun</t>
        </is>
      </c>
      <c r="C3559" t="inlineStr">
        <is>
          <t>vaibhav.v@osmosys.co</t>
        </is>
      </c>
      <c r="D3559" t="inlineStr">
        <is>
          <t>incident-reporter</t>
        </is>
      </c>
      <c r="E3559">
        <f>HYPERLINK("http://gitlab.osmosys.co/incident-reporter/incident-reporter-angular-portal", "OQSHA Portal")</f>
        <v/>
      </c>
      <c r="F3559">
        <f>HYPERLINK("http://gitlab.osmosys.co/incident-reporter/incident-reporter-angular-portal/-/merge_requests/3393", "feat: add department in ptw")</f>
        <v/>
      </c>
      <c r="G3559" t="inlineStr">
        <is>
          <t>feat/add-department</t>
        </is>
      </c>
      <c r="H3559" t="inlineStr">
        <is>
          <t>sprint-17</t>
        </is>
      </c>
      <c r="I3559" t="inlineStr">
        <is>
          <t>merged</t>
        </is>
      </c>
      <c r="J3559" t="inlineStr">
        <is>
          <t>89522909fe7f61618f06b8be6b05db05634f3590</t>
        </is>
      </c>
      <c r="K3559">
        <f>HYPERLINK("http://gitlab.osmosys.co/incident-reporter/incident-reporter-angular-portal/-/merge_requests/3393#note_234816", "In the list table, the department value first letter should be in caps as like other column values")</f>
        <v/>
      </c>
      <c r="L3559" t="inlineStr">
        <is>
          <t>2025-07-11 01:11:00.325 IST</t>
        </is>
      </c>
      <c r="M3559" t="inlineStr">
        <is>
          <t>Soundariya B</t>
        </is>
      </c>
      <c r="N3559" t="inlineStr">
        <is>
          <t>Yes</t>
        </is>
      </c>
      <c r="O3559" t="inlineStr">
        <is>
          <t>Yes</t>
        </is>
      </c>
      <c r="P3559" t="inlineStr">
        <is>
          <t>Raj Kumar</t>
        </is>
      </c>
      <c r="Q3559" t="inlineStr">
        <is>
          <t>Neutral</t>
        </is>
      </c>
    </row>
    <row r="3560">
      <c r="A3560" t="inlineStr">
        <is>
          <t>vaibhav.v</t>
        </is>
      </c>
      <c r="B3560" t="inlineStr">
        <is>
          <t>Vaibhav Varun</t>
        </is>
      </c>
      <c r="C3560" t="inlineStr">
        <is>
          <t>vaibhav.v@osmosys.co</t>
        </is>
      </c>
      <c r="D3560" t="inlineStr">
        <is>
          <t>incident-reporter</t>
        </is>
      </c>
      <c r="E3560">
        <f>HYPERLINK("http://gitlab.osmosys.co/incident-reporter/incident-reporter-angular-portal", "OQSHA Portal")</f>
        <v/>
      </c>
      <c r="F3560">
        <f>HYPERLINK("http://gitlab.osmosys.co/incident-reporter/incident-reporter-angular-portal/-/merge_requests/3393", "feat: add department in ptw")</f>
        <v/>
      </c>
      <c r="G3560" t="inlineStr">
        <is>
          <t>feat/add-department</t>
        </is>
      </c>
      <c r="H3560" t="inlineStr">
        <is>
          <t>sprint-17</t>
        </is>
      </c>
      <c r="I3560" t="inlineStr">
        <is>
          <t>merged</t>
        </is>
      </c>
      <c r="J3560" t="inlineStr">
        <is>
          <t>89522909fe7f61618f06b8be6b05db05634f3590</t>
        </is>
      </c>
      <c r="K3560">
        <f>HYPERLINK("http://gitlab.osmosys.co/incident-reporter/incident-reporter-angular-portal/-/merge_requests/3393#note_234897", "its like that only coming from API, its department name which is small")</f>
        <v/>
      </c>
      <c r="L3560" t="inlineStr">
        <is>
          <t>2025-07-11 08:38:36.492 IST</t>
        </is>
      </c>
      <c r="M3560" t="inlineStr">
        <is>
          <t>Vaibhav Varun</t>
        </is>
      </c>
      <c r="N3560" t="inlineStr">
        <is>
          <t>No</t>
        </is>
      </c>
      <c r="O3560" t="inlineStr">
        <is>
          <t>Yes</t>
        </is>
      </c>
      <c r="P3560" t="inlineStr">
        <is>
          <t>Raj Kumar</t>
        </is>
      </c>
      <c r="Q3560" t="inlineStr">
        <is>
          <t>Neutral</t>
        </is>
      </c>
    </row>
    <row r="3561">
      <c r="A3561" t="inlineStr">
        <is>
          <t>vaibhav.v</t>
        </is>
      </c>
      <c r="B3561" t="inlineStr">
        <is>
          <t>Vaibhav Varun</t>
        </is>
      </c>
      <c r="C3561" t="inlineStr">
        <is>
          <t>vaibhav.v@osmosys.co</t>
        </is>
      </c>
      <c r="D3561" t="inlineStr">
        <is>
          <t>incident-reporter</t>
        </is>
      </c>
      <c r="E3561">
        <f>HYPERLINK("http://gitlab.osmosys.co/incident-reporter/incident-reporter-angular-portal", "OQSHA Portal")</f>
        <v/>
      </c>
      <c r="F3561">
        <f>HYPERLINK("http://gitlab.osmosys.co/incident-reporter/incident-reporter-angular-portal/-/merge_requests/3393", "feat: add department in ptw")</f>
        <v/>
      </c>
      <c r="G3561" t="inlineStr">
        <is>
          <t>feat/add-department</t>
        </is>
      </c>
      <c r="H3561" t="inlineStr">
        <is>
          <t>sprint-17</t>
        </is>
      </c>
      <c r="I3561" t="inlineStr">
        <is>
          <t>merged</t>
        </is>
      </c>
      <c r="J3561" t="inlineStr">
        <is>
          <t>6e21b7ac178ae44cc225ba9098cbd5806d7b3687</t>
        </is>
      </c>
      <c r="K3561">
        <f>HYPERLINK("http://gitlab.osmosys.co/incident-reporter/incident-reporter-angular-portal/-/merge_requests/3393#note_234817", "In form,  the placeholder of the department should be - 'Select the department'")</f>
        <v/>
      </c>
      <c r="L3561" t="inlineStr">
        <is>
          <t>2025-07-11 01:11:00.352 IST</t>
        </is>
      </c>
      <c r="M3561" t="inlineStr">
        <is>
          <t>Soundariya B</t>
        </is>
      </c>
      <c r="N3561" t="inlineStr">
        <is>
          <t>Yes</t>
        </is>
      </c>
      <c r="O3561" t="inlineStr">
        <is>
          <t>Yes</t>
        </is>
      </c>
      <c r="P3561" t="inlineStr">
        <is>
          <t>Raj Kumar</t>
        </is>
      </c>
      <c r="Q3561" t="inlineStr">
        <is>
          <t>Bad</t>
        </is>
      </c>
    </row>
    <row r="3562">
      <c r="A3562" t="inlineStr">
        <is>
          <t>vaibhav.v</t>
        </is>
      </c>
      <c r="B3562" t="inlineStr">
        <is>
          <t>Vaibhav Varun</t>
        </is>
      </c>
      <c r="C3562" t="inlineStr">
        <is>
          <t>vaibhav.v@osmosys.co</t>
        </is>
      </c>
      <c r="D3562" t="inlineStr">
        <is>
          <t>incident-reporter</t>
        </is>
      </c>
      <c r="E3562">
        <f>HYPERLINK("http://gitlab.osmosys.co/incident-reporter/incident-reporter-angular-portal", "OQSHA Portal")</f>
        <v/>
      </c>
      <c r="F3562">
        <f>HYPERLINK("http://gitlab.osmosys.co/incident-reporter/incident-reporter-angular-portal/-/merge_requests/3393", "feat: add department in ptw")</f>
        <v/>
      </c>
      <c r="G3562" t="inlineStr">
        <is>
          <t>feat/add-department</t>
        </is>
      </c>
      <c r="H3562" t="inlineStr">
        <is>
          <t>sprint-17</t>
        </is>
      </c>
      <c r="I3562" t="inlineStr">
        <is>
          <t>merged</t>
        </is>
      </c>
      <c r="J3562" t="inlineStr">
        <is>
          <t>6e21b7ac178ae44cc225ba9098cbd5806d7b3687</t>
        </is>
      </c>
      <c r="K3562">
        <f>HYPERLINK("http://gitlab.osmosys.co/incident-reporter/incident-reporter-angular-portal/-/merge_requests/3393#note_234898", "Changed")</f>
        <v/>
      </c>
      <c r="L3562" t="inlineStr">
        <is>
          <t>2025-07-11 08:40:03.937 IST</t>
        </is>
      </c>
      <c r="M3562" t="inlineStr">
        <is>
          <t>Vaibhav Varun</t>
        </is>
      </c>
      <c r="N3562" t="inlineStr">
        <is>
          <t>No</t>
        </is>
      </c>
      <c r="O3562" t="inlineStr">
        <is>
          <t>Yes</t>
        </is>
      </c>
      <c r="P3562" t="inlineStr">
        <is>
          <t>Raj Kumar</t>
        </is>
      </c>
      <c r="Q3562" t="inlineStr">
        <is>
          <t>Bad</t>
        </is>
      </c>
    </row>
    <row r="3563">
      <c r="A3563" t="inlineStr">
        <is>
          <t>vaibhav.v</t>
        </is>
      </c>
      <c r="B3563" t="inlineStr">
        <is>
          <t>Vaibhav Varun</t>
        </is>
      </c>
      <c r="C3563" t="inlineStr">
        <is>
          <t>vaibhav.v@osmosys.co</t>
        </is>
      </c>
      <c r="D3563" t="inlineStr">
        <is>
          <t>incident-reporter</t>
        </is>
      </c>
      <c r="E3563">
        <f>HYPERLINK("http://gitlab.osmosys.co/incident-reporter/incident-reporter-angular-portal", "OQSHA Portal")</f>
        <v/>
      </c>
      <c r="F3563">
        <f>HYPERLINK("http://gitlab.osmosys.co/incident-reporter/incident-reporter-angular-portal/-/merge_requests/3393", "feat: add department in ptw")</f>
        <v/>
      </c>
      <c r="G3563" t="inlineStr">
        <is>
          <t>feat/add-department</t>
        </is>
      </c>
      <c r="H3563" t="inlineStr">
        <is>
          <t>sprint-17</t>
        </is>
      </c>
      <c r="I3563" t="inlineStr">
        <is>
          <t>merged</t>
        </is>
      </c>
      <c r="J3563" t="inlineStr">
        <is>
          <t>4f9aa3f50a814c2d570e32263b37ec446aa26a78</t>
        </is>
      </c>
      <c r="K3563">
        <f>HYPERLINK("http://gitlab.osmosys.co/incident-reporter/incident-reporter-angular-portal/-/merge_requests/3393#note_234818", "For this element the id attribute is not used  for label 'for' attribute")</f>
        <v/>
      </c>
      <c r="L3563" t="inlineStr">
        <is>
          <t>2025-07-11 01:11:00.406 IST</t>
        </is>
      </c>
      <c r="M3563" t="inlineStr">
        <is>
          <t>Soundariya B</t>
        </is>
      </c>
      <c r="N3563" t="inlineStr">
        <is>
          <t>Yes</t>
        </is>
      </c>
      <c r="O3563" t="inlineStr">
        <is>
          <t>Yes</t>
        </is>
      </c>
      <c r="P3563" t="inlineStr">
        <is>
          <t>Raj Kumar</t>
        </is>
      </c>
      <c r="Q3563" t="inlineStr">
        <is>
          <t>Bad</t>
        </is>
      </c>
    </row>
    <row r="3564">
      <c r="A3564" t="inlineStr">
        <is>
          <t>vaibhav.v</t>
        </is>
      </c>
      <c r="B3564" t="inlineStr">
        <is>
          <t>Vaibhav Varun</t>
        </is>
      </c>
      <c r="C3564" t="inlineStr">
        <is>
          <t>vaibhav.v@osmosys.co</t>
        </is>
      </c>
      <c r="D3564" t="inlineStr">
        <is>
          <t>incident-reporter</t>
        </is>
      </c>
      <c r="E3564">
        <f>HYPERLINK("http://gitlab.osmosys.co/incident-reporter/incident-reporter-angular-portal", "OQSHA Portal")</f>
        <v/>
      </c>
      <c r="F3564">
        <f>HYPERLINK("http://gitlab.osmosys.co/incident-reporter/incident-reporter-angular-portal/-/merge_requests/3393", "feat: add department in ptw")</f>
        <v/>
      </c>
      <c r="G3564" t="inlineStr">
        <is>
          <t>feat/add-department</t>
        </is>
      </c>
      <c r="H3564" t="inlineStr">
        <is>
          <t>sprint-17</t>
        </is>
      </c>
      <c r="I3564" t="inlineStr">
        <is>
          <t>merged</t>
        </is>
      </c>
      <c r="J3564" t="inlineStr">
        <is>
          <t>4f9aa3f50a814c2d570e32263b37ec446aa26a78</t>
        </is>
      </c>
      <c r="K3564">
        <f>HYPERLINK("http://gitlab.osmosys.co/incident-reporter/incident-reporter-angular-portal/-/merge_requests/3393#note_234899", "done")</f>
        <v/>
      </c>
      <c r="L3564" t="inlineStr">
        <is>
          <t>2025-07-11 08:41:24.942 IST</t>
        </is>
      </c>
      <c r="M3564" t="inlineStr">
        <is>
          <t>Vaibhav Varun</t>
        </is>
      </c>
      <c r="N3564" t="inlineStr">
        <is>
          <t>No</t>
        </is>
      </c>
      <c r="O3564" t="inlineStr">
        <is>
          <t>Yes</t>
        </is>
      </c>
      <c r="P3564" t="inlineStr">
        <is>
          <t>Raj Kumar</t>
        </is>
      </c>
      <c r="Q3564" t="inlineStr">
        <is>
          <t>Bad</t>
        </is>
      </c>
    </row>
    <row r="3565">
      <c r="A3565" t="inlineStr">
        <is>
          <t>vaibhav.v</t>
        </is>
      </c>
      <c r="B3565" t="inlineStr">
        <is>
          <t>Vaibhav Varun</t>
        </is>
      </c>
      <c r="C3565" t="inlineStr">
        <is>
          <t>vaibhav.v@osmosys.co</t>
        </is>
      </c>
      <c r="D3565" t="inlineStr">
        <is>
          <t>incident-reporter</t>
        </is>
      </c>
      <c r="E3565">
        <f>HYPERLINK("http://gitlab.osmosys.co/incident-reporter/incident-reporter-angular-portal", "OQSHA Portal")</f>
        <v/>
      </c>
      <c r="F3565">
        <f>HYPERLINK("http://gitlab.osmosys.co/incident-reporter/incident-reporter-angular-portal/-/merge_requests/3393", "feat: add department in ptw")</f>
        <v/>
      </c>
      <c r="G3565" t="inlineStr">
        <is>
          <t>feat/add-department</t>
        </is>
      </c>
      <c r="H3565" t="inlineStr">
        <is>
          <t>sprint-17</t>
        </is>
      </c>
      <c r="I3565" t="inlineStr">
        <is>
          <t>merged</t>
        </is>
      </c>
      <c r="J3565" t="inlineStr">
        <is>
          <t>3e1801482e96460fafeb3f63cb8335a256280cfc</t>
        </is>
      </c>
      <c r="K3565">
        <f>HYPERLINK("http://gitlab.osmosys.co/incident-reporter/incident-reporter-angular-portal/-/merge_requests/3393#note_234819", "label name should be SELECT_DEPARTMENT")</f>
        <v/>
      </c>
      <c r="L3565" t="inlineStr">
        <is>
          <t>2025-07-11 01:11:00.499 IST</t>
        </is>
      </c>
      <c r="M3565" t="inlineStr">
        <is>
          <t>Soundariya B</t>
        </is>
      </c>
      <c r="N3565" t="inlineStr">
        <is>
          <t>Yes</t>
        </is>
      </c>
      <c r="O3565" t="inlineStr">
        <is>
          <t>Yes</t>
        </is>
      </c>
      <c r="P3565" t="inlineStr">
        <is>
          <t>Raj Kumar</t>
        </is>
      </c>
      <c r="Q3565" t="inlineStr">
        <is>
          <t>Bad</t>
        </is>
      </c>
    </row>
    <row r="3566">
      <c r="A3566" t="inlineStr">
        <is>
          <t>vaibhav.v</t>
        </is>
      </c>
      <c r="B3566" t="inlineStr">
        <is>
          <t>Vaibhav Varun</t>
        </is>
      </c>
      <c r="C3566" t="inlineStr">
        <is>
          <t>vaibhav.v@osmosys.co</t>
        </is>
      </c>
      <c r="D3566" t="inlineStr">
        <is>
          <t>incident-reporter</t>
        </is>
      </c>
      <c r="E3566">
        <f>HYPERLINK("http://gitlab.osmosys.co/incident-reporter/incident-reporter-angular-portal", "OQSHA Portal")</f>
        <v/>
      </c>
      <c r="F3566">
        <f>HYPERLINK("http://gitlab.osmosys.co/incident-reporter/incident-reporter-angular-portal/-/merge_requests/3393", "feat: add department in ptw")</f>
        <v/>
      </c>
      <c r="G3566" t="inlineStr">
        <is>
          <t>feat/add-department</t>
        </is>
      </c>
      <c r="H3566" t="inlineStr">
        <is>
          <t>sprint-17</t>
        </is>
      </c>
      <c r="I3566" t="inlineStr">
        <is>
          <t>merged</t>
        </is>
      </c>
      <c r="J3566" t="inlineStr">
        <is>
          <t>3e1801482e96460fafeb3f63cb8335a256280cfc</t>
        </is>
      </c>
      <c r="K3566">
        <f>HYPERLINK("http://gitlab.osmosys.co/incident-reporter/incident-reporter-angular-portal/-/merge_requests/3393#note_234902", "changed")</f>
        <v/>
      </c>
      <c r="L3566" t="inlineStr">
        <is>
          <t>2025-07-11 08:47:26.978 IST</t>
        </is>
      </c>
      <c r="M3566" t="inlineStr">
        <is>
          <t>Vaibhav Varun</t>
        </is>
      </c>
      <c r="N3566" t="inlineStr">
        <is>
          <t>No</t>
        </is>
      </c>
      <c r="O3566" t="inlineStr">
        <is>
          <t>Yes</t>
        </is>
      </c>
      <c r="P3566" t="inlineStr">
        <is>
          <t>Raj Kumar</t>
        </is>
      </c>
      <c r="Q3566" t="inlineStr">
        <is>
          <t>Bad</t>
        </is>
      </c>
    </row>
    <row r="3567">
      <c r="A3567" t="inlineStr">
        <is>
          <t>vaibhav.v</t>
        </is>
      </c>
      <c r="B3567" t="inlineStr">
        <is>
          <t>Vaibhav Varun</t>
        </is>
      </c>
      <c r="C3567" t="inlineStr">
        <is>
          <t>vaibhav.v@osmosys.co</t>
        </is>
      </c>
      <c r="D3567" t="inlineStr">
        <is>
          <t>incident-reporter</t>
        </is>
      </c>
      <c r="E3567">
        <f>HYPERLINK("http://gitlab.osmosys.co/incident-reporter/incident-reporter-angular-portal", "OQSHA Portal")</f>
        <v/>
      </c>
      <c r="F3567">
        <f>HYPERLINK("http://gitlab.osmosys.co/incident-reporter/incident-reporter-angular-portal/-/merge_requests/3393", "feat: add department in ptw")</f>
        <v/>
      </c>
      <c r="G3567" t="inlineStr">
        <is>
          <t>feat/add-department</t>
        </is>
      </c>
      <c r="H3567" t="inlineStr">
        <is>
          <t>sprint-17</t>
        </is>
      </c>
      <c r="I3567" t="inlineStr">
        <is>
          <t>merged</t>
        </is>
      </c>
      <c r="J3567" t="inlineStr">
        <is>
          <t>659ca559386cee806577e5b2ffed8ca349f5dfe3</t>
        </is>
      </c>
      <c r="K3567">
        <f>HYPERLINK("http://gitlab.osmosys.co/incident-reporter/incident-reporter-angular-portal/-/merge_requests/3393#note_234820", "for attribute is missing here")</f>
        <v/>
      </c>
      <c r="L3567" t="inlineStr">
        <is>
          <t>2025-07-11 01:11:00.577 IST</t>
        </is>
      </c>
      <c r="M3567" t="inlineStr">
        <is>
          <t>Soundariya B</t>
        </is>
      </c>
      <c r="N3567" t="inlineStr">
        <is>
          <t>Yes</t>
        </is>
      </c>
      <c r="O3567" t="inlineStr">
        <is>
          <t>Yes</t>
        </is>
      </c>
      <c r="P3567" t="inlineStr">
        <is>
          <t>Raj Kumar</t>
        </is>
      </c>
      <c r="Q3567" t="inlineStr">
        <is>
          <t>Bad</t>
        </is>
      </c>
    </row>
    <row r="3568">
      <c r="A3568" t="inlineStr">
        <is>
          <t>vaibhav.v</t>
        </is>
      </c>
      <c r="B3568" t="inlineStr">
        <is>
          <t>Vaibhav Varun</t>
        </is>
      </c>
      <c r="C3568" t="inlineStr">
        <is>
          <t>vaibhav.v@osmosys.co</t>
        </is>
      </c>
      <c r="D3568" t="inlineStr">
        <is>
          <t>incident-reporter</t>
        </is>
      </c>
      <c r="E3568">
        <f>HYPERLINK("http://gitlab.osmosys.co/incident-reporter/incident-reporter-angular-portal", "OQSHA Portal")</f>
        <v/>
      </c>
      <c r="F3568">
        <f>HYPERLINK("http://gitlab.osmosys.co/incident-reporter/incident-reporter-angular-portal/-/merge_requests/3393", "feat: add department in ptw")</f>
        <v/>
      </c>
      <c r="G3568" t="inlineStr">
        <is>
          <t>feat/add-department</t>
        </is>
      </c>
      <c r="H3568" t="inlineStr">
        <is>
          <t>sprint-17</t>
        </is>
      </c>
      <c r="I3568" t="inlineStr">
        <is>
          <t>merged</t>
        </is>
      </c>
      <c r="J3568" t="inlineStr">
        <is>
          <t>659ca559386cee806577e5b2ffed8ca349f5dfe3</t>
        </is>
      </c>
      <c r="K3568">
        <f>HYPERLINK("http://gitlab.osmosys.co/incident-reporter/incident-reporter-angular-portal/-/merge_requests/3393#note_234901", "Changed")</f>
        <v/>
      </c>
      <c r="L3568" t="inlineStr">
        <is>
          <t>2025-07-11 08:46:40.352 IST</t>
        </is>
      </c>
      <c r="M3568" t="inlineStr">
        <is>
          <t>Vaibhav Varun</t>
        </is>
      </c>
      <c r="N3568" t="inlineStr">
        <is>
          <t>No</t>
        </is>
      </c>
      <c r="O3568" t="inlineStr">
        <is>
          <t>Yes</t>
        </is>
      </c>
      <c r="P3568" t="inlineStr">
        <is>
          <t>Raj Kumar</t>
        </is>
      </c>
      <c r="Q3568" t="inlineStr">
        <is>
          <t>Bad</t>
        </is>
      </c>
    </row>
    <row r="3569">
      <c r="A3569" t="inlineStr">
        <is>
          <t>vaibhav.v</t>
        </is>
      </c>
      <c r="B3569" t="inlineStr">
        <is>
          <t>Vaibhav Varun</t>
        </is>
      </c>
      <c r="C3569" t="inlineStr">
        <is>
          <t>vaibhav.v@osmosys.co</t>
        </is>
      </c>
      <c r="D3569" t="inlineStr">
        <is>
          <t>incident-reporter</t>
        </is>
      </c>
      <c r="E3569">
        <f>HYPERLINK("http://gitlab.osmosys.co/incident-reporter/incident-reporter-angular-portal", "OQSHA Portal")</f>
        <v/>
      </c>
      <c r="F3569">
        <f>HYPERLINK("http://gitlab.osmosys.co/incident-reporter/incident-reporter-angular-portal/-/merge_requests/3393", "feat: add department in ptw")</f>
        <v/>
      </c>
      <c r="G3569" t="inlineStr">
        <is>
          <t>feat/add-department</t>
        </is>
      </c>
      <c r="H3569" t="inlineStr">
        <is>
          <t>sprint-17</t>
        </is>
      </c>
      <c r="I3569" t="inlineStr">
        <is>
          <t>merged</t>
        </is>
      </c>
      <c r="J3569" t="inlineStr">
        <is>
          <t>ad0c9923746899b896d3bd9b2e3098c824127c81</t>
        </is>
      </c>
      <c r="K3569">
        <f>HYPERLINK("http://gitlab.osmosys.co/incident-reporter/incident-reporter-angular-portal/-/merge_requests/3393#note_234821", "Use meaningful variables please what is x here for all using which seems code redundancy so better to do mapping logic by using one function with meaningful variable")</f>
        <v/>
      </c>
      <c r="L3569" t="inlineStr">
        <is>
          <t>2025-07-11 01:11:00.653 IST</t>
        </is>
      </c>
      <c r="M3569" t="inlineStr">
        <is>
          <t>Soundariya B</t>
        </is>
      </c>
      <c r="N3569" t="inlineStr">
        <is>
          <t>Yes</t>
        </is>
      </c>
      <c r="O3569" t="inlineStr">
        <is>
          <t>Yes</t>
        </is>
      </c>
      <c r="P3569" t="inlineStr">
        <is>
          <t>Raj Kumar</t>
        </is>
      </c>
      <c r="Q3569" t="inlineStr">
        <is>
          <t>Bad</t>
        </is>
      </c>
    </row>
    <row r="3570">
      <c r="A3570" t="inlineStr">
        <is>
          <t>vaibhav.v</t>
        </is>
      </c>
      <c r="B3570" t="inlineStr">
        <is>
          <t>Vaibhav Varun</t>
        </is>
      </c>
      <c r="C3570" t="inlineStr">
        <is>
          <t>vaibhav.v@osmosys.co</t>
        </is>
      </c>
      <c r="D3570" t="inlineStr">
        <is>
          <t>incident-reporter</t>
        </is>
      </c>
      <c r="E3570">
        <f>HYPERLINK("http://gitlab.osmosys.co/incident-reporter/incident-reporter-angular-portal", "OQSHA Portal")</f>
        <v/>
      </c>
      <c r="F3570">
        <f>HYPERLINK("http://gitlab.osmosys.co/incident-reporter/incident-reporter-angular-portal/-/merge_requests/3393", "feat: add department in ptw")</f>
        <v/>
      </c>
      <c r="G3570" t="inlineStr">
        <is>
          <t>feat/add-department</t>
        </is>
      </c>
      <c r="H3570" t="inlineStr">
        <is>
          <t>sprint-17</t>
        </is>
      </c>
      <c r="I3570" t="inlineStr">
        <is>
          <t>merged</t>
        </is>
      </c>
      <c r="J3570" t="inlineStr">
        <is>
          <t>ad0c9923746899b896d3bd9b2e3098c824127c81</t>
        </is>
      </c>
      <c r="K3570">
        <f>HYPERLINK("http://gitlab.osmosys.co/incident-reporter/incident-reporter-angular-portal/-/merge_requests/3393#note_234900", "Changed")</f>
        <v/>
      </c>
      <c r="L3570" t="inlineStr">
        <is>
          <t>2025-07-11 08:42:11.512 IST</t>
        </is>
      </c>
      <c r="M3570" t="inlineStr">
        <is>
          <t>Vaibhav Varun</t>
        </is>
      </c>
      <c r="N3570" t="inlineStr">
        <is>
          <t>No</t>
        </is>
      </c>
      <c r="O3570" t="inlineStr">
        <is>
          <t>Yes</t>
        </is>
      </c>
      <c r="P3570" t="inlineStr">
        <is>
          <t>Raj Kumar</t>
        </is>
      </c>
      <c r="Q3570" t="inlineStr">
        <is>
          <t>Bad</t>
        </is>
      </c>
    </row>
    <row r="3571">
      <c r="A3571" t="inlineStr">
        <is>
          <t>vaibhav.v</t>
        </is>
      </c>
      <c r="B3571" t="inlineStr">
        <is>
          <t>Vaibhav Varun</t>
        </is>
      </c>
      <c r="C3571" t="inlineStr">
        <is>
          <t>vaibhav.v@osmosys.co</t>
        </is>
      </c>
      <c r="D3571" t="inlineStr">
        <is>
          <t>incident-reporter</t>
        </is>
      </c>
      <c r="E3571">
        <f>HYPERLINK("http://gitlab.osmosys.co/incident-reporter/incident-reporter-app", "OQSHA Mobile App")</f>
        <v/>
      </c>
      <c r="F3571">
        <f>HYPERLINK("http://gitlab.osmosys.co/incident-reporter/incident-reporter-app/-/merge_requests/1850", "fix: fix reported by filter")</f>
        <v/>
      </c>
      <c r="G3571" t="inlineStr">
        <is>
          <t>fix/fix-filter</t>
        </is>
      </c>
      <c r="H3571" t="inlineStr">
        <is>
          <t>sprint-18</t>
        </is>
      </c>
      <c r="I3571" t="inlineStr">
        <is>
          <t>merged</t>
        </is>
      </c>
      <c r="J3571" t="inlineStr"/>
      <c r="K3571" t="inlineStr"/>
      <c r="L3571" t="inlineStr"/>
      <c r="M3571" t="inlineStr"/>
      <c r="N3571" t="inlineStr"/>
      <c r="O3571" t="inlineStr"/>
      <c r="P3571" t="inlineStr"/>
      <c r="Q3571" t="inlineStr"/>
    </row>
    <row r="3572">
      <c r="A3572" t="inlineStr">
        <is>
          <t>vaibhav.v</t>
        </is>
      </c>
      <c r="B3572" t="inlineStr">
        <is>
          <t>Vaibhav Varun</t>
        </is>
      </c>
      <c r="C3572" t="inlineStr">
        <is>
          <t>vaibhav.v@osmosys.co</t>
        </is>
      </c>
      <c r="D3572" t="inlineStr">
        <is>
          <t>incident-reporter</t>
        </is>
      </c>
      <c r="E3572">
        <f>HYPERLINK("http://gitlab.osmosys.co/incident-reporter/incident-reporter-app", "OQSHA Mobile App")</f>
        <v/>
      </c>
      <c r="F3572">
        <f>HYPERLINK("http://gitlab.osmosys.co/incident-reporter/incident-reporter-app/-/merge_requests/1838", "feat: add condition on ptw copy")</f>
        <v/>
      </c>
      <c r="G3572" t="inlineStr">
        <is>
          <t>feat/ptw-allow-copy</t>
        </is>
      </c>
      <c r="H3572" t="inlineStr">
        <is>
          <t>sprint-18</t>
        </is>
      </c>
      <c r="I3572" t="inlineStr">
        <is>
          <t>merged</t>
        </is>
      </c>
      <c r="J3572" t="inlineStr"/>
      <c r="K3572" t="inlineStr"/>
      <c r="L3572" t="inlineStr"/>
      <c r="M3572" t="inlineStr"/>
      <c r="N3572" t="inlineStr"/>
      <c r="O3572" t="inlineStr"/>
      <c r="P3572" t="inlineStr"/>
      <c r="Q3572" t="inlineStr"/>
    </row>
    <row r="3573">
      <c r="A3573" t="inlineStr">
        <is>
          <t>vaibhav.v</t>
        </is>
      </c>
      <c r="B3573" t="inlineStr">
        <is>
          <t>Vaibhav Varun</t>
        </is>
      </c>
      <c r="C3573" t="inlineStr">
        <is>
          <t>vaibhav.v@osmosys.co</t>
        </is>
      </c>
      <c r="D3573" t="inlineStr">
        <is>
          <t>incident-reporter</t>
        </is>
      </c>
      <c r="E3573">
        <f>HYPERLINK("http://gitlab.osmosys.co/incident-reporter/incident-reporter-app", "OQSHA Mobile App")</f>
        <v/>
      </c>
      <c r="F3573">
        <f>HYPERLINK("http://gitlab.osmosys.co/incident-reporter/incident-reporter-app/-/merge_requests/1836", "fix: client specific fixes on modules")</f>
        <v/>
      </c>
      <c r="G3573" t="inlineStr">
        <is>
          <t>fix/client-fixes</t>
        </is>
      </c>
      <c r="H3573" t="inlineStr">
        <is>
          <t>sprint-18</t>
        </is>
      </c>
      <c r="I3573" t="inlineStr">
        <is>
          <t>merged</t>
        </is>
      </c>
      <c r="J3573" t="inlineStr">
        <is>
          <t>1f8e84ffdbcd3b9e410f75fce3ba350c363ed9ed</t>
        </is>
      </c>
      <c r="K3573">
        <f>HYPERLINK("http://gitlab.osmosys.co/incident-reporter/incident-reporter-app/-/merge_requests/1836#note_242661", "Test case link showing 404 not found page so please update with correct link")</f>
        <v/>
      </c>
      <c r="L3573" t="inlineStr">
        <is>
          <t>2025-07-28 01:44:28.877 IST</t>
        </is>
      </c>
      <c r="M3573" t="inlineStr">
        <is>
          <t>Soundariya B</t>
        </is>
      </c>
      <c r="N3573" t="inlineStr">
        <is>
          <t>Yes</t>
        </is>
      </c>
      <c r="O3573" t="inlineStr">
        <is>
          <t>Yes</t>
        </is>
      </c>
      <c r="P3573" t="inlineStr">
        <is>
          <t>Soundariya B</t>
        </is>
      </c>
      <c r="Q3573" t="inlineStr">
        <is>
          <t>Bad</t>
        </is>
      </c>
    </row>
    <row r="3574">
      <c r="A3574" t="inlineStr">
        <is>
          <t>vaibhav.v</t>
        </is>
      </c>
      <c r="B3574" t="inlineStr">
        <is>
          <t>Vaibhav Varun</t>
        </is>
      </c>
      <c r="C3574" t="inlineStr">
        <is>
          <t>vaibhav.v@osmosys.co</t>
        </is>
      </c>
      <c r="D3574" t="inlineStr">
        <is>
          <t>incident-reporter</t>
        </is>
      </c>
      <c r="E3574">
        <f>HYPERLINK("http://gitlab.osmosys.co/incident-reporter/incident-reporter-app", "OQSHA Mobile App")</f>
        <v/>
      </c>
      <c r="F3574">
        <f>HYPERLINK("http://gitlab.osmosys.co/incident-reporter/incident-reporter-app/-/merge_requests/1836", "fix: client specific fixes on modules")</f>
        <v/>
      </c>
      <c r="G3574" t="inlineStr">
        <is>
          <t>fix/client-fixes</t>
        </is>
      </c>
      <c r="H3574" t="inlineStr">
        <is>
          <t>sprint-18</t>
        </is>
      </c>
      <c r="I3574" t="inlineStr">
        <is>
          <t>merged</t>
        </is>
      </c>
      <c r="J3574" t="inlineStr">
        <is>
          <t>1f8e84ffdbcd3b9e410f75fce3ba350c363ed9ed</t>
        </is>
      </c>
      <c r="K3574">
        <f>HYPERLINK("http://gitlab.osmosys.co/incident-reporter/incident-reporter-app/-/merge_requests/1836#note_242718", "Added again")</f>
        <v/>
      </c>
      <c r="L3574" t="inlineStr">
        <is>
          <t>2025-07-28 10:22:11.029 IST</t>
        </is>
      </c>
      <c r="M3574" t="inlineStr">
        <is>
          <t>Vaibhav Varun</t>
        </is>
      </c>
      <c r="N3574" t="inlineStr">
        <is>
          <t>No</t>
        </is>
      </c>
      <c r="O3574" t="inlineStr">
        <is>
          <t>Yes</t>
        </is>
      </c>
      <c r="P3574" t="inlineStr">
        <is>
          <t>Soundariya B</t>
        </is>
      </c>
      <c r="Q3574" t="inlineStr">
        <is>
          <t>Bad</t>
        </is>
      </c>
    </row>
    <row r="3575">
      <c r="A3575" t="inlineStr">
        <is>
          <t>vaibhav.v</t>
        </is>
      </c>
      <c r="B3575" t="inlineStr">
        <is>
          <t>Vaibhav Varun</t>
        </is>
      </c>
      <c r="C3575" t="inlineStr">
        <is>
          <t>vaibhav.v@osmosys.co</t>
        </is>
      </c>
      <c r="D3575" t="inlineStr">
        <is>
          <t>incident-reporter</t>
        </is>
      </c>
      <c r="E3575">
        <f>HYPERLINK("http://gitlab.osmosys.co/incident-reporter/incident-reporter-app", "OQSHA Mobile App")</f>
        <v/>
      </c>
      <c r="F3575">
        <f>HYPERLINK("http://gitlab.osmosys.co/incident-reporter/incident-reporter-app/-/merge_requests/1836", "fix: client specific fixes on modules")</f>
        <v/>
      </c>
      <c r="G3575" t="inlineStr">
        <is>
          <t>fix/client-fixes</t>
        </is>
      </c>
      <c r="H3575" t="inlineStr">
        <is>
          <t>sprint-18</t>
        </is>
      </c>
      <c r="I3575" t="inlineStr">
        <is>
          <t>merged</t>
        </is>
      </c>
      <c r="J3575" t="inlineStr">
        <is>
          <t>62f5f3ed7cb1c8ab976498423a4a5e7ce8f1e885</t>
        </is>
      </c>
      <c r="K3575">
        <f>HYPERLINK("http://gitlab.osmosys.co/incident-reporter/incident-reporter-app/-/merge_requests/1836#note_242662", "Please attach each tasks SS as its a bit important to verify it as all tasks seems mostly UI not functional")</f>
        <v/>
      </c>
      <c r="L3575" t="inlineStr">
        <is>
          <t>2025-07-28 01:44:28.912 IST</t>
        </is>
      </c>
      <c r="M3575" t="inlineStr">
        <is>
          <t>Soundariya B</t>
        </is>
      </c>
      <c r="N3575" t="inlineStr">
        <is>
          <t>Yes</t>
        </is>
      </c>
      <c r="O3575" t="inlineStr">
        <is>
          <t>Yes</t>
        </is>
      </c>
      <c r="P3575" t="inlineStr">
        <is>
          <t>Soundariya B</t>
        </is>
      </c>
      <c r="Q3575" t="inlineStr">
        <is>
          <t>Neutral</t>
        </is>
      </c>
    </row>
    <row r="3576">
      <c r="A3576" t="inlineStr">
        <is>
          <t>vaibhav.v</t>
        </is>
      </c>
      <c r="B3576" t="inlineStr">
        <is>
          <t>Vaibhav Varun</t>
        </is>
      </c>
      <c r="C3576" t="inlineStr">
        <is>
          <t>vaibhav.v@osmosys.co</t>
        </is>
      </c>
      <c r="D3576" t="inlineStr">
        <is>
          <t>incident-reporter</t>
        </is>
      </c>
      <c r="E3576">
        <f>HYPERLINK("http://gitlab.osmosys.co/incident-reporter/incident-reporter-app", "OQSHA Mobile App")</f>
        <v/>
      </c>
      <c r="F3576">
        <f>HYPERLINK("http://gitlab.osmosys.co/incident-reporter/incident-reporter-app/-/merge_requests/1836", "fix: client specific fixes on modules")</f>
        <v/>
      </c>
      <c r="G3576" t="inlineStr">
        <is>
          <t>fix/client-fixes</t>
        </is>
      </c>
      <c r="H3576" t="inlineStr">
        <is>
          <t>sprint-18</t>
        </is>
      </c>
      <c r="I3576" t="inlineStr">
        <is>
          <t>merged</t>
        </is>
      </c>
      <c r="J3576" t="inlineStr">
        <is>
          <t>b8c9d73919df5bf8121431dc39b3ee76d645faba</t>
        </is>
      </c>
      <c r="K3576">
        <f>HYPERLINK("http://gitlab.osmosys.co/incident-reporter/incident-reporter-app/-/merge_requests/1836#note_242663", "Remove commented code - fix it everywhere")</f>
        <v/>
      </c>
      <c r="L3576" t="inlineStr">
        <is>
          <t>2025-07-28 01:44:28.977 IST</t>
        </is>
      </c>
      <c r="M3576" t="inlineStr">
        <is>
          <t>Soundariya B</t>
        </is>
      </c>
      <c r="N3576" t="inlineStr">
        <is>
          <t>Yes</t>
        </is>
      </c>
      <c r="O3576" t="inlineStr">
        <is>
          <t>Yes</t>
        </is>
      </c>
      <c r="P3576" t="inlineStr">
        <is>
          <t>Soundariya B</t>
        </is>
      </c>
      <c r="Q3576" t="inlineStr">
        <is>
          <t>Bad</t>
        </is>
      </c>
    </row>
    <row r="3577">
      <c r="A3577" t="inlineStr">
        <is>
          <t>vaibhav.v</t>
        </is>
      </c>
      <c r="B3577" t="inlineStr">
        <is>
          <t>Vaibhav Varun</t>
        </is>
      </c>
      <c r="C3577" t="inlineStr">
        <is>
          <t>vaibhav.v@osmosys.co</t>
        </is>
      </c>
      <c r="D3577" t="inlineStr">
        <is>
          <t>incident-reporter</t>
        </is>
      </c>
      <c r="E3577">
        <f>HYPERLINK("http://gitlab.osmosys.co/incident-reporter/incident-reporter-app", "OQSHA Mobile App")</f>
        <v/>
      </c>
      <c r="F3577">
        <f>HYPERLINK("http://gitlab.osmosys.co/incident-reporter/incident-reporter-app/-/merge_requests/1836", "fix: client specific fixes on modules")</f>
        <v/>
      </c>
      <c r="G3577" t="inlineStr">
        <is>
          <t>fix/client-fixes</t>
        </is>
      </c>
      <c r="H3577" t="inlineStr">
        <is>
          <t>sprint-18</t>
        </is>
      </c>
      <c r="I3577" t="inlineStr">
        <is>
          <t>merged</t>
        </is>
      </c>
      <c r="J3577" t="inlineStr">
        <is>
          <t>b8c9d73919df5bf8121431dc39b3ee76d645faba</t>
        </is>
      </c>
      <c r="K3577">
        <f>HYPERLINK("http://gitlab.osmosys.co/incident-reporter/incident-reporter-app/-/merge_requests/1836#note_242758", "Done")</f>
        <v/>
      </c>
      <c r="L3577" t="inlineStr">
        <is>
          <t>2025-07-28 11:12:36.889 IST</t>
        </is>
      </c>
      <c r="M3577" t="inlineStr">
        <is>
          <t>Vaibhav Varun</t>
        </is>
      </c>
      <c r="N3577" t="inlineStr">
        <is>
          <t>No</t>
        </is>
      </c>
      <c r="O3577" t="inlineStr">
        <is>
          <t>Yes</t>
        </is>
      </c>
      <c r="P3577" t="inlineStr">
        <is>
          <t>Soundariya B</t>
        </is>
      </c>
      <c r="Q3577" t="inlineStr">
        <is>
          <t>Bad</t>
        </is>
      </c>
    </row>
    <row r="3578">
      <c r="A3578" t="inlineStr">
        <is>
          <t>vaibhav.v</t>
        </is>
      </c>
      <c r="B3578" t="inlineStr">
        <is>
          <t>Vaibhav Varun</t>
        </is>
      </c>
      <c r="C3578" t="inlineStr">
        <is>
          <t>vaibhav.v@osmosys.co</t>
        </is>
      </c>
      <c r="D3578" t="inlineStr">
        <is>
          <t>incident-reporter</t>
        </is>
      </c>
      <c r="E3578">
        <f>HYPERLINK("http://gitlab.osmosys.co/incident-reporter/incident-reporter-app", "OQSHA Mobile App")</f>
        <v/>
      </c>
      <c r="F3578">
        <f>HYPERLINK("http://gitlab.osmosys.co/incident-reporter/incident-reporter-app/-/merge_requests/1836", "fix: client specific fixes on modules")</f>
        <v/>
      </c>
      <c r="G3578" t="inlineStr">
        <is>
          <t>fix/client-fixes</t>
        </is>
      </c>
      <c r="H3578" t="inlineStr">
        <is>
          <t>sprint-18</t>
        </is>
      </c>
      <c r="I3578" t="inlineStr">
        <is>
          <t>merged</t>
        </is>
      </c>
      <c r="J3578" t="inlineStr">
        <is>
          <t>a2adffd01c669a1b11bbb03b679106399971cb08</t>
        </is>
      </c>
      <c r="K3578">
        <f>HYPERLINK("http://gitlab.osmosys.co/incident-reporter/incident-reporter-app/-/merge_requests/1836#note_242664", "Please remove it because the ion-radio-group itself doesn't need a value attribute for functionality.")</f>
        <v/>
      </c>
      <c r="L3578" t="inlineStr">
        <is>
          <t>2025-07-28 01:44:29.028 IST</t>
        </is>
      </c>
      <c r="M3578" t="inlineStr">
        <is>
          <t>Soundariya B</t>
        </is>
      </c>
      <c r="N3578" t="inlineStr">
        <is>
          <t>Yes</t>
        </is>
      </c>
      <c r="O3578" t="inlineStr">
        <is>
          <t>Yes</t>
        </is>
      </c>
      <c r="P3578" t="inlineStr">
        <is>
          <t>Soundariya B</t>
        </is>
      </c>
      <c r="Q3578" t="inlineStr">
        <is>
          <t>Bad</t>
        </is>
      </c>
    </row>
    <row r="3579">
      <c r="A3579" t="inlineStr">
        <is>
          <t>vaibhav.v</t>
        </is>
      </c>
      <c r="B3579" t="inlineStr">
        <is>
          <t>Vaibhav Varun</t>
        </is>
      </c>
      <c r="C3579" t="inlineStr">
        <is>
          <t>vaibhav.v@osmosys.co</t>
        </is>
      </c>
      <c r="D3579" t="inlineStr">
        <is>
          <t>incident-reporter</t>
        </is>
      </c>
      <c r="E3579">
        <f>HYPERLINK("http://gitlab.osmosys.co/incident-reporter/incident-reporter-app", "OQSHA Mobile App")</f>
        <v/>
      </c>
      <c r="F3579">
        <f>HYPERLINK("http://gitlab.osmosys.co/incident-reporter/incident-reporter-app/-/merge_requests/1836", "fix: client specific fixes on modules")</f>
        <v/>
      </c>
      <c r="G3579" t="inlineStr">
        <is>
          <t>fix/client-fixes</t>
        </is>
      </c>
      <c r="H3579" t="inlineStr">
        <is>
          <t>sprint-18</t>
        </is>
      </c>
      <c r="I3579" t="inlineStr">
        <is>
          <t>merged</t>
        </is>
      </c>
      <c r="J3579" t="inlineStr">
        <is>
          <t>a2adffd01c669a1b11bbb03b679106399971cb08</t>
        </is>
      </c>
      <c r="K3579">
        <f>HYPERLINK("http://gitlab.osmosys.co/incident-reporter/incident-reporter-app/-/merge_requests/1836#note_242931", "Not yet fixed")</f>
        <v/>
      </c>
      <c r="L3579" t="inlineStr">
        <is>
          <t>2025-07-28 13:21:30.406 IST</t>
        </is>
      </c>
      <c r="M3579" t="inlineStr">
        <is>
          <t>Soundariya B</t>
        </is>
      </c>
      <c r="N3579" t="inlineStr">
        <is>
          <t>Yes</t>
        </is>
      </c>
      <c r="O3579" t="inlineStr">
        <is>
          <t>Yes</t>
        </is>
      </c>
      <c r="P3579" t="inlineStr">
        <is>
          <t>Soundariya B</t>
        </is>
      </c>
      <c r="Q3579" t="inlineStr">
        <is>
          <t>Bad</t>
        </is>
      </c>
    </row>
    <row r="3580">
      <c r="A3580" t="inlineStr">
        <is>
          <t>vaibhav.v</t>
        </is>
      </c>
      <c r="B3580" t="inlineStr">
        <is>
          <t>Vaibhav Varun</t>
        </is>
      </c>
      <c r="C3580" t="inlineStr">
        <is>
          <t>vaibhav.v@osmosys.co</t>
        </is>
      </c>
      <c r="D3580" t="inlineStr">
        <is>
          <t>incident-reporter</t>
        </is>
      </c>
      <c r="E3580">
        <f>HYPERLINK("http://gitlab.osmosys.co/incident-reporter/incident-reporter-app", "OQSHA Mobile App")</f>
        <v/>
      </c>
      <c r="F3580">
        <f>HYPERLINK("http://gitlab.osmosys.co/incident-reporter/incident-reporter-app/-/merge_requests/1836", "fix: client specific fixes on modules")</f>
        <v/>
      </c>
      <c r="G3580" t="inlineStr">
        <is>
          <t>fix/client-fixes</t>
        </is>
      </c>
      <c r="H3580" t="inlineStr">
        <is>
          <t>sprint-18</t>
        </is>
      </c>
      <c r="I3580" t="inlineStr">
        <is>
          <t>merged</t>
        </is>
      </c>
      <c r="J3580" t="inlineStr">
        <is>
          <t>a2adffd01c669a1b11bbb03b679106399971cb08</t>
        </is>
      </c>
      <c r="K3580">
        <f>HYPERLINK("http://gitlab.osmosys.co/incident-reporter/incident-reporter-app/-/merge_requests/1836#note_242936", "Done")</f>
        <v/>
      </c>
      <c r="L3580" t="inlineStr">
        <is>
          <t>2025-07-28 13:26:20.386 IST</t>
        </is>
      </c>
      <c r="M3580" t="inlineStr">
        <is>
          <t>Vaibhav Varun</t>
        </is>
      </c>
      <c r="N3580" t="inlineStr">
        <is>
          <t>No</t>
        </is>
      </c>
      <c r="O3580" t="inlineStr">
        <is>
          <t>Yes</t>
        </is>
      </c>
      <c r="P3580" t="inlineStr">
        <is>
          <t>Soundariya B</t>
        </is>
      </c>
      <c r="Q3580" t="inlineStr">
        <is>
          <t>Bad</t>
        </is>
      </c>
    </row>
    <row r="3581">
      <c r="A3581" t="inlineStr">
        <is>
          <t>vaibhav.v</t>
        </is>
      </c>
      <c r="B3581" t="inlineStr">
        <is>
          <t>Vaibhav Varun</t>
        </is>
      </c>
      <c r="C3581" t="inlineStr">
        <is>
          <t>vaibhav.v@osmosys.co</t>
        </is>
      </c>
      <c r="D3581" t="inlineStr">
        <is>
          <t>incident-reporter</t>
        </is>
      </c>
      <c r="E3581">
        <f>HYPERLINK("http://gitlab.osmosys.co/incident-reporter/incident-reporter-app", "OQSHA Mobile App")</f>
        <v/>
      </c>
      <c r="F3581">
        <f>HYPERLINK("http://gitlab.osmosys.co/incident-reporter/incident-reporter-app/-/merge_requests/1836", "fix: client specific fixes on modules")</f>
        <v/>
      </c>
      <c r="G3581" t="inlineStr">
        <is>
          <t>fix/client-fixes</t>
        </is>
      </c>
      <c r="H3581" t="inlineStr">
        <is>
          <t>sprint-18</t>
        </is>
      </c>
      <c r="I3581" t="inlineStr">
        <is>
          <t>merged</t>
        </is>
      </c>
      <c r="J3581" t="inlineStr">
        <is>
          <t>d7eeb33f5b3b31d0d2492ae5d8be6de9d35c411c</t>
        </is>
      </c>
      <c r="K3581">
        <f>HYPERLINK("http://gitlab.osmosys.co/incident-reporter/incident-reporter-app/-/merge_requests/1836#note_242665", "It should be rdo-list")</f>
        <v/>
      </c>
      <c r="L3581" t="inlineStr">
        <is>
          <t>2025-07-28 01:44:29.083 IST</t>
        </is>
      </c>
      <c r="M3581" t="inlineStr">
        <is>
          <t>Soundariya B</t>
        </is>
      </c>
      <c r="N3581" t="inlineStr">
        <is>
          <t>Yes</t>
        </is>
      </c>
      <c r="O3581" t="inlineStr">
        <is>
          <t>Yes</t>
        </is>
      </c>
      <c r="P3581" t="inlineStr">
        <is>
          <t>Soundariya B</t>
        </is>
      </c>
      <c r="Q3581" t="inlineStr">
        <is>
          <t>Bad</t>
        </is>
      </c>
    </row>
    <row r="3582">
      <c r="A3582" t="inlineStr">
        <is>
          <t>vaibhav.v</t>
        </is>
      </c>
      <c r="B3582" t="inlineStr">
        <is>
          <t>Vaibhav Varun</t>
        </is>
      </c>
      <c r="C3582" t="inlineStr">
        <is>
          <t>vaibhav.v@osmosys.co</t>
        </is>
      </c>
      <c r="D3582" t="inlineStr">
        <is>
          <t>incident-reporter</t>
        </is>
      </c>
      <c r="E3582">
        <f>HYPERLINK("http://gitlab.osmosys.co/incident-reporter/incident-reporter-app", "OQSHA Mobile App")</f>
        <v/>
      </c>
      <c r="F3582">
        <f>HYPERLINK("http://gitlab.osmosys.co/incident-reporter/incident-reporter-app/-/merge_requests/1836", "fix: client specific fixes on modules")</f>
        <v/>
      </c>
      <c r="G3582" t="inlineStr">
        <is>
          <t>fix/client-fixes</t>
        </is>
      </c>
      <c r="H3582" t="inlineStr">
        <is>
          <t>sprint-18</t>
        </is>
      </c>
      <c r="I3582" t="inlineStr">
        <is>
          <t>merged</t>
        </is>
      </c>
      <c r="J3582" t="inlineStr">
        <is>
          <t>d7eeb33f5b3b31d0d2492ae5d8be6de9d35c411c</t>
        </is>
      </c>
      <c r="K3582">
        <f>HYPERLINK("http://gitlab.osmosys.co/incident-reporter/incident-reporter-app/-/merge_requests/1836#note_242761", "Done")</f>
        <v/>
      </c>
      <c r="L3582" t="inlineStr">
        <is>
          <t>2025-07-28 11:14:02.885 IST</t>
        </is>
      </c>
      <c r="M3582" t="inlineStr">
        <is>
          <t>Vaibhav Varun</t>
        </is>
      </c>
      <c r="N3582" t="inlineStr">
        <is>
          <t>No</t>
        </is>
      </c>
      <c r="O3582" t="inlineStr">
        <is>
          <t>Yes</t>
        </is>
      </c>
      <c r="P3582" t="inlineStr">
        <is>
          <t>Soundariya B</t>
        </is>
      </c>
      <c r="Q3582" t="inlineStr">
        <is>
          <t>Bad</t>
        </is>
      </c>
    </row>
    <row r="3583">
      <c r="A3583" t="inlineStr">
        <is>
          <t>vaibhav.v</t>
        </is>
      </c>
      <c r="B3583" t="inlineStr">
        <is>
          <t>Vaibhav Varun</t>
        </is>
      </c>
      <c r="C3583" t="inlineStr">
        <is>
          <t>vaibhav.v@osmosys.co</t>
        </is>
      </c>
      <c r="D3583" t="inlineStr">
        <is>
          <t>incident-reporter</t>
        </is>
      </c>
      <c r="E3583">
        <f>HYPERLINK("http://gitlab.osmosys.co/incident-reporter/incident-reporter-app", "OQSHA Mobile App")</f>
        <v/>
      </c>
      <c r="F3583">
        <f>HYPERLINK("http://gitlab.osmosys.co/incident-reporter/incident-reporter-app/-/merge_requests/1836", "fix: client specific fixes on modules")</f>
        <v/>
      </c>
      <c r="G3583" t="inlineStr">
        <is>
          <t>fix/client-fixes</t>
        </is>
      </c>
      <c r="H3583" t="inlineStr">
        <is>
          <t>sprint-18</t>
        </is>
      </c>
      <c r="I3583" t="inlineStr">
        <is>
          <t>merged</t>
        </is>
      </c>
      <c r="J3583" t="inlineStr">
        <is>
          <t>706c0aca4af0e3310990ab6a861028ff7c58d345</t>
        </is>
      </c>
      <c r="K3583">
        <f>HYPERLINK("http://gitlab.osmosys.co/incident-reporter/incident-reporter-app/-/merge_requests/1836#note_242666", "Why the radio but is strict to use md mode radio button only even if it is in ios mode")</f>
        <v/>
      </c>
      <c r="L3583" t="inlineStr">
        <is>
          <t>2025-07-28 01:44:29.139 IST</t>
        </is>
      </c>
      <c r="M3583" t="inlineStr">
        <is>
          <t>Soundariya B</t>
        </is>
      </c>
      <c r="N3583" t="inlineStr">
        <is>
          <t>Yes</t>
        </is>
      </c>
      <c r="O3583" t="inlineStr">
        <is>
          <t>Yes</t>
        </is>
      </c>
      <c r="P3583" t="inlineStr">
        <is>
          <t>Soundariya B</t>
        </is>
      </c>
      <c r="Q3583" t="inlineStr">
        <is>
          <t>Neutral</t>
        </is>
      </c>
    </row>
    <row r="3584">
      <c r="A3584" t="inlineStr">
        <is>
          <t>vaibhav.v</t>
        </is>
      </c>
      <c r="B3584" t="inlineStr">
        <is>
          <t>Vaibhav Varun</t>
        </is>
      </c>
      <c r="C3584" t="inlineStr">
        <is>
          <t>vaibhav.v@osmosys.co</t>
        </is>
      </c>
      <c r="D3584" t="inlineStr">
        <is>
          <t>incident-reporter</t>
        </is>
      </c>
      <c r="E3584">
        <f>HYPERLINK("http://gitlab.osmosys.co/incident-reporter/incident-reporter-app", "OQSHA Mobile App")</f>
        <v/>
      </c>
      <c r="F3584">
        <f>HYPERLINK("http://gitlab.osmosys.co/incident-reporter/incident-reporter-app/-/merge_requests/1836", "fix: client specific fixes on modules")</f>
        <v/>
      </c>
      <c r="G3584" t="inlineStr">
        <is>
          <t>fix/client-fixes</t>
        </is>
      </c>
      <c r="H3584" t="inlineStr">
        <is>
          <t>sprint-18</t>
        </is>
      </c>
      <c r="I3584" t="inlineStr">
        <is>
          <t>merged</t>
        </is>
      </c>
      <c r="J3584" t="inlineStr">
        <is>
          <t>706c0aca4af0e3310990ab6a861028ff7c58d345</t>
        </is>
      </c>
      <c r="K3584">
        <f>HYPERLINK("http://gitlab.osmosys.co/incident-reporter/incident-reporter-app/-/merge_requests/1836#note_242694", "Everywhere we are using this, so to keep uniformity")</f>
        <v/>
      </c>
      <c r="L3584" t="inlineStr">
        <is>
          <t>2025-07-28 10:17:23.509 IST</t>
        </is>
      </c>
      <c r="M3584" t="inlineStr">
        <is>
          <t>Vaibhav Varun</t>
        </is>
      </c>
      <c r="N3584" t="inlineStr">
        <is>
          <t>No</t>
        </is>
      </c>
      <c r="O3584" t="inlineStr">
        <is>
          <t>Yes</t>
        </is>
      </c>
      <c r="P3584" t="inlineStr">
        <is>
          <t>Soundariya B</t>
        </is>
      </c>
      <c r="Q3584" t="inlineStr">
        <is>
          <t>Neutral</t>
        </is>
      </c>
    </row>
    <row r="3585">
      <c r="A3585" t="inlineStr">
        <is>
          <t>vaibhav.v</t>
        </is>
      </c>
      <c r="B3585" t="inlineStr">
        <is>
          <t>Vaibhav Varun</t>
        </is>
      </c>
      <c r="C3585" t="inlineStr">
        <is>
          <t>vaibhav.v@osmosys.co</t>
        </is>
      </c>
      <c r="D3585" t="inlineStr">
        <is>
          <t>incident-reporter</t>
        </is>
      </c>
      <c r="E3585">
        <f>HYPERLINK("http://gitlab.osmosys.co/incident-reporter/incident-reporter-app", "OQSHA Mobile App")</f>
        <v/>
      </c>
      <c r="F3585">
        <f>HYPERLINK("http://gitlab.osmosys.co/incident-reporter/incident-reporter-app/-/merge_requests/1836", "fix: client specific fixes on modules")</f>
        <v/>
      </c>
      <c r="G3585" t="inlineStr">
        <is>
          <t>fix/client-fixes</t>
        </is>
      </c>
      <c r="H3585" t="inlineStr">
        <is>
          <t>sprint-18</t>
        </is>
      </c>
      <c r="I3585" t="inlineStr">
        <is>
          <t>merged</t>
        </is>
      </c>
      <c r="J3585" t="inlineStr">
        <is>
          <t>d95057e5d0e3b984bec6213890b74a2123041db5</t>
        </is>
      </c>
      <c r="K3585">
        <f>HYPERLINK("http://gitlab.osmosys.co/incident-reporter/incident-reporter-app/-/merge_requests/1836#note_242667", "Already we are using this variable - 'selectedUserType' for userType field so please use that don't add this new one.")</f>
        <v/>
      </c>
      <c r="L3585" t="inlineStr">
        <is>
          <t>2025-07-28 01:44:29.227 IST</t>
        </is>
      </c>
      <c r="M3585" t="inlineStr">
        <is>
          <t>Soundariya B</t>
        </is>
      </c>
      <c r="N3585" t="inlineStr">
        <is>
          <t>Yes</t>
        </is>
      </c>
      <c r="O3585" t="inlineStr">
        <is>
          <t>Yes</t>
        </is>
      </c>
      <c r="P3585" t="inlineStr">
        <is>
          <t>Soundariya B</t>
        </is>
      </c>
      <c r="Q3585" t="inlineStr">
        <is>
          <t>Bad</t>
        </is>
      </c>
    </row>
    <row r="3586">
      <c r="A3586" t="inlineStr">
        <is>
          <t>vaibhav.v</t>
        </is>
      </c>
      <c r="B3586" t="inlineStr">
        <is>
          <t>Vaibhav Varun</t>
        </is>
      </c>
      <c r="C3586" t="inlineStr">
        <is>
          <t>vaibhav.v@osmosys.co</t>
        </is>
      </c>
      <c r="D3586" t="inlineStr">
        <is>
          <t>incident-reporter</t>
        </is>
      </c>
      <c r="E3586">
        <f>HYPERLINK("http://gitlab.osmosys.co/incident-reporter/incident-reporter-app", "OQSHA Mobile App")</f>
        <v/>
      </c>
      <c r="F3586">
        <f>HYPERLINK("http://gitlab.osmosys.co/incident-reporter/incident-reporter-app/-/merge_requests/1836", "fix: client specific fixes on modules")</f>
        <v/>
      </c>
      <c r="G3586" t="inlineStr">
        <is>
          <t>fix/client-fixes</t>
        </is>
      </c>
      <c r="H3586" t="inlineStr">
        <is>
          <t>sprint-18</t>
        </is>
      </c>
      <c r="I3586" t="inlineStr">
        <is>
          <t>merged</t>
        </is>
      </c>
      <c r="J3586" t="inlineStr">
        <is>
          <t>d95057e5d0e3b984bec6213890b74a2123041db5</t>
        </is>
      </c>
      <c r="K3586">
        <f>HYPERLINK("http://gitlab.osmosys.co/incident-reporter/incident-reporter-app/-/merge_requests/1836#note_242695", "This is done deliberately for some functionality to be there, so please consider this for now.")</f>
        <v/>
      </c>
      <c r="L3586" t="inlineStr">
        <is>
          <t>2025-07-28 10:18:04.091 IST</t>
        </is>
      </c>
      <c r="M3586" t="inlineStr">
        <is>
          <t>Vaibhav Varun</t>
        </is>
      </c>
      <c r="N3586" t="inlineStr">
        <is>
          <t>No</t>
        </is>
      </c>
      <c r="O3586" t="inlineStr">
        <is>
          <t>Yes</t>
        </is>
      </c>
      <c r="P3586" t="inlineStr">
        <is>
          <t>Soundariya B</t>
        </is>
      </c>
      <c r="Q3586" t="inlineStr">
        <is>
          <t>Bad</t>
        </is>
      </c>
    </row>
    <row r="3587">
      <c r="A3587" t="inlineStr">
        <is>
          <t>vaibhav.v</t>
        </is>
      </c>
      <c r="B3587" t="inlineStr">
        <is>
          <t>Vaibhav Varun</t>
        </is>
      </c>
      <c r="C3587" t="inlineStr">
        <is>
          <t>vaibhav.v@osmosys.co</t>
        </is>
      </c>
      <c r="D3587" t="inlineStr">
        <is>
          <t>incident-reporter</t>
        </is>
      </c>
      <c r="E3587">
        <f>HYPERLINK("http://gitlab.osmosys.co/incident-reporter/incident-reporter-app", "OQSHA Mobile App")</f>
        <v/>
      </c>
      <c r="F3587">
        <f>HYPERLINK("http://gitlab.osmosys.co/incident-reporter/incident-reporter-app/-/merge_requests/1836", "fix: client specific fixes on modules")</f>
        <v/>
      </c>
      <c r="G3587" t="inlineStr">
        <is>
          <t>fix/client-fixes</t>
        </is>
      </c>
      <c r="H3587" t="inlineStr">
        <is>
          <t>sprint-18</t>
        </is>
      </c>
      <c r="I3587" t="inlineStr">
        <is>
          <t>merged</t>
        </is>
      </c>
      <c r="J3587" t="inlineStr">
        <is>
          <t>d95057e5d0e3b984bec6213890b74a2123041db5</t>
        </is>
      </c>
      <c r="K3587">
        <f>HYPERLINK("http://gitlab.osmosys.co/incident-reporter/incident-reporter-app/-/merge_requests/1836#note_242924", "Add comment for this in portal PR please check and do the changes")</f>
        <v/>
      </c>
      <c r="L3587" t="inlineStr">
        <is>
          <t>2025-07-28 13:19:17.740 IST</t>
        </is>
      </c>
      <c r="M3587" t="inlineStr">
        <is>
          <t>Soundariya B</t>
        </is>
      </c>
      <c r="N3587" t="inlineStr">
        <is>
          <t>Yes</t>
        </is>
      </c>
      <c r="O3587" t="inlineStr">
        <is>
          <t>Yes</t>
        </is>
      </c>
      <c r="P3587" t="inlineStr">
        <is>
          <t>Soundariya B</t>
        </is>
      </c>
      <c r="Q3587" t="inlineStr">
        <is>
          <t>Bad</t>
        </is>
      </c>
    </row>
    <row r="3588">
      <c r="A3588" t="inlineStr">
        <is>
          <t>vaibhav.v</t>
        </is>
      </c>
      <c r="B3588" t="inlineStr">
        <is>
          <t>Vaibhav Varun</t>
        </is>
      </c>
      <c r="C3588" t="inlineStr">
        <is>
          <t>vaibhav.v@osmosys.co</t>
        </is>
      </c>
      <c r="D3588" t="inlineStr">
        <is>
          <t>incident-reporter</t>
        </is>
      </c>
      <c r="E3588">
        <f>HYPERLINK("http://gitlab.osmosys.co/incident-reporter/incident-reporter-app", "OQSHA Mobile App")</f>
        <v/>
      </c>
      <c r="F3588">
        <f>HYPERLINK("http://gitlab.osmosys.co/incident-reporter/incident-reporter-app/-/merge_requests/1836", "fix: client specific fixes on modules")</f>
        <v/>
      </c>
      <c r="G3588" t="inlineStr">
        <is>
          <t>fix/client-fixes</t>
        </is>
      </c>
      <c r="H3588" t="inlineStr">
        <is>
          <t>sprint-18</t>
        </is>
      </c>
      <c r="I3588" t="inlineStr">
        <is>
          <t>merged</t>
        </is>
      </c>
      <c r="J3588" t="inlineStr">
        <is>
          <t>d95057e5d0e3b984bec6213890b74a2123041db5</t>
        </is>
      </c>
      <c r="K3588">
        <f>HYPERLINK("http://gitlab.osmosys.co/incident-reporter/incident-reporter-app/-/merge_requests/1836#note_242937", "I have answered there as well. One is used for other purposes later and I want that.")</f>
        <v/>
      </c>
      <c r="L3588" t="inlineStr">
        <is>
          <t>2025-07-28 13:26:49.880 IST</t>
        </is>
      </c>
      <c r="M3588" t="inlineStr">
        <is>
          <t>Vaibhav Varun</t>
        </is>
      </c>
      <c r="N3588" t="inlineStr">
        <is>
          <t>No</t>
        </is>
      </c>
      <c r="O3588" t="inlineStr">
        <is>
          <t>Yes</t>
        </is>
      </c>
      <c r="P3588" t="inlineStr">
        <is>
          <t>Soundariya B</t>
        </is>
      </c>
      <c r="Q3588" t="inlineStr">
        <is>
          <t>Bad</t>
        </is>
      </c>
    </row>
    <row r="3589">
      <c r="A3589" t="inlineStr">
        <is>
          <t>vaibhav.v</t>
        </is>
      </c>
      <c r="B3589" t="inlineStr">
        <is>
          <t>Vaibhav Varun</t>
        </is>
      </c>
      <c r="C3589" t="inlineStr">
        <is>
          <t>vaibhav.v@osmosys.co</t>
        </is>
      </c>
      <c r="D3589" t="inlineStr">
        <is>
          <t>incident-reporter</t>
        </is>
      </c>
      <c r="E3589">
        <f>HYPERLINK("http://gitlab.osmosys.co/incident-reporter/incident-reporter-app", "OQSHA Mobile App")</f>
        <v/>
      </c>
      <c r="F3589">
        <f>HYPERLINK("http://gitlab.osmosys.co/incident-reporter/incident-reporter-app/-/merge_requests/1836", "fix: client specific fixes on modules")</f>
        <v/>
      </c>
      <c r="G3589" t="inlineStr">
        <is>
          <t>fix/client-fixes</t>
        </is>
      </c>
      <c r="H3589" t="inlineStr">
        <is>
          <t>sprint-18</t>
        </is>
      </c>
      <c r="I3589" t="inlineStr">
        <is>
          <t>merged</t>
        </is>
      </c>
      <c r="J3589" t="inlineStr">
        <is>
          <t>f4aee862960b294203f9da7fc6b043171cc468f4</t>
        </is>
      </c>
      <c r="K3589">
        <f>HYPERLINK("http://gitlab.osmosys.co/incident-reporter/incident-reporter-app/-/merge_requests/1836#note_242668", "selectedCategory: **number**\[\] | number;
You can use the existing one instead of new only please reuse it.")</f>
        <v/>
      </c>
      <c r="L3589" t="inlineStr">
        <is>
          <t>2025-07-28 01:44:29.307 IST</t>
        </is>
      </c>
      <c r="M3589" t="inlineStr">
        <is>
          <t>Soundariya B</t>
        </is>
      </c>
      <c r="N3589" t="inlineStr">
        <is>
          <t>Yes</t>
        </is>
      </c>
      <c r="O3589" t="inlineStr">
        <is>
          <t>Yes</t>
        </is>
      </c>
      <c r="P3589" t="inlineStr">
        <is>
          <t>Soundariya B</t>
        </is>
      </c>
      <c r="Q3589" t="inlineStr">
        <is>
          <t>Bad</t>
        </is>
      </c>
    </row>
    <row r="3590">
      <c r="A3590" t="inlineStr">
        <is>
          <t>vaibhav.v</t>
        </is>
      </c>
      <c r="B3590" t="inlineStr">
        <is>
          <t>Vaibhav Varun</t>
        </is>
      </c>
      <c r="C3590" t="inlineStr">
        <is>
          <t>vaibhav.v@osmosys.co</t>
        </is>
      </c>
      <c r="D3590" t="inlineStr">
        <is>
          <t>incident-reporter</t>
        </is>
      </c>
      <c r="E3590">
        <f>HYPERLINK("http://gitlab.osmosys.co/incident-reporter/incident-reporter-app", "OQSHA Mobile App")</f>
        <v/>
      </c>
      <c r="F3590">
        <f>HYPERLINK("http://gitlab.osmosys.co/incident-reporter/incident-reporter-app/-/merge_requests/1836", "fix: client specific fixes on modules")</f>
        <v/>
      </c>
      <c r="G3590" t="inlineStr">
        <is>
          <t>fix/client-fixes</t>
        </is>
      </c>
      <c r="H3590" t="inlineStr">
        <is>
          <t>sprint-18</t>
        </is>
      </c>
      <c r="I3590" t="inlineStr">
        <is>
          <t>merged</t>
        </is>
      </c>
      <c r="J3590" t="inlineStr">
        <is>
          <t>f4aee862960b294203f9da7fc6b043171cc468f4</t>
        </is>
      </c>
      <c r="K3590">
        <f>HYPERLINK("http://gitlab.osmosys.co/incident-reporter/incident-reporter-app/-/merge_requests/1836#note_242707", "I have done this on purpose as mentioned above.")</f>
        <v/>
      </c>
      <c r="L3590" t="inlineStr">
        <is>
          <t>2025-07-28 10:18:33.245 IST</t>
        </is>
      </c>
      <c r="M3590" t="inlineStr">
        <is>
          <t>Vaibhav Varun</t>
        </is>
      </c>
      <c r="N3590" t="inlineStr">
        <is>
          <t>No</t>
        </is>
      </c>
      <c r="O3590" t="inlineStr">
        <is>
          <t>Yes</t>
        </is>
      </c>
      <c r="P3590" t="inlineStr">
        <is>
          <t>Soundariya B</t>
        </is>
      </c>
      <c r="Q3590" t="inlineStr">
        <is>
          <t>Bad</t>
        </is>
      </c>
    </row>
    <row r="3591">
      <c r="A3591" t="inlineStr">
        <is>
          <t>vaibhav.v</t>
        </is>
      </c>
      <c r="B3591" t="inlineStr">
        <is>
          <t>Vaibhav Varun</t>
        </is>
      </c>
      <c r="C3591" t="inlineStr">
        <is>
          <t>vaibhav.v@osmosys.co</t>
        </is>
      </c>
      <c r="D3591" t="inlineStr">
        <is>
          <t>incident-reporter</t>
        </is>
      </c>
      <c r="E3591">
        <f>HYPERLINK("http://gitlab.osmosys.co/incident-reporter/incident-reporter-app", "OQSHA Mobile App")</f>
        <v/>
      </c>
      <c r="F3591">
        <f>HYPERLINK("http://gitlab.osmosys.co/incident-reporter/incident-reporter-app/-/merge_requests/1836", "fix: client specific fixes on modules")</f>
        <v/>
      </c>
      <c r="G3591" t="inlineStr">
        <is>
          <t>fix/client-fixes</t>
        </is>
      </c>
      <c r="H3591" t="inlineStr">
        <is>
          <t>sprint-18</t>
        </is>
      </c>
      <c r="I3591" t="inlineStr">
        <is>
          <t>merged</t>
        </is>
      </c>
      <c r="J3591" t="inlineStr">
        <is>
          <t>f4aee862960b294203f9da7fc6b043171cc468f4</t>
        </is>
      </c>
      <c r="K3591">
        <f>HYPERLINK("http://gitlab.osmosys.co/incident-reporter/incident-reporter-app/-/merge_requests/1836#note_242925", "I don't understand the purpose of using different variable for same kind of work and feature/field")</f>
        <v/>
      </c>
      <c r="L3591" t="inlineStr">
        <is>
          <t>2025-07-28 13:20:04.149 IST</t>
        </is>
      </c>
      <c r="M3591" t="inlineStr">
        <is>
          <t>Soundariya B</t>
        </is>
      </c>
      <c r="N3591" t="inlineStr">
        <is>
          <t>Yes</t>
        </is>
      </c>
      <c r="O3591" t="inlineStr">
        <is>
          <t>Yes</t>
        </is>
      </c>
      <c r="P3591" t="inlineStr">
        <is>
          <t>Soundariya B</t>
        </is>
      </c>
      <c r="Q3591" t="inlineStr">
        <is>
          <t>Bad</t>
        </is>
      </c>
    </row>
    <row r="3592">
      <c r="A3592" t="inlineStr">
        <is>
          <t>vaibhav.v</t>
        </is>
      </c>
      <c r="B3592" t="inlineStr">
        <is>
          <t>Vaibhav Varun</t>
        </is>
      </c>
      <c r="C3592" t="inlineStr">
        <is>
          <t>vaibhav.v@osmosys.co</t>
        </is>
      </c>
      <c r="D3592" t="inlineStr">
        <is>
          <t>incident-reporter</t>
        </is>
      </c>
      <c r="E3592">
        <f>HYPERLINK("http://gitlab.osmosys.co/incident-reporter/incident-reporter-app", "OQSHA Mobile App")</f>
        <v/>
      </c>
      <c r="F3592">
        <f>HYPERLINK("http://gitlab.osmosys.co/incident-reporter/incident-reporter-app/-/merge_requests/1836", "fix: client specific fixes on modules")</f>
        <v/>
      </c>
      <c r="G3592" t="inlineStr">
        <is>
          <t>fix/client-fixes</t>
        </is>
      </c>
      <c r="H3592" t="inlineStr">
        <is>
          <t>sprint-18</t>
        </is>
      </c>
      <c r="I3592" t="inlineStr">
        <is>
          <t>merged</t>
        </is>
      </c>
      <c r="J3592" t="inlineStr">
        <is>
          <t>f4aee862960b294203f9da7fc6b043171cc468f4</t>
        </is>
      </c>
      <c r="K3592">
        <f>HYPERLINK("http://gitlab.osmosys.co/incident-reporter/incident-reporter-app/-/merge_requests/1836#note_242952", "Explained already.")</f>
        <v/>
      </c>
      <c r="L3592" t="inlineStr">
        <is>
          <t>2025-07-28 13:39:58.959 IST</t>
        </is>
      </c>
      <c r="M3592" t="inlineStr">
        <is>
          <t>Vaibhav Varun</t>
        </is>
      </c>
      <c r="N3592" t="inlineStr">
        <is>
          <t>No</t>
        </is>
      </c>
      <c r="O3592" t="inlineStr">
        <is>
          <t>Yes</t>
        </is>
      </c>
      <c r="P3592" t="inlineStr">
        <is>
          <t>Soundariya B</t>
        </is>
      </c>
      <c r="Q3592" t="inlineStr">
        <is>
          <t>Bad</t>
        </is>
      </c>
    </row>
    <row r="3593">
      <c r="A3593" t="inlineStr">
        <is>
          <t>vaibhav.v</t>
        </is>
      </c>
      <c r="B3593" t="inlineStr">
        <is>
          <t>Vaibhav Varun</t>
        </is>
      </c>
      <c r="C3593" t="inlineStr">
        <is>
          <t>vaibhav.v@osmosys.co</t>
        </is>
      </c>
      <c r="D3593" t="inlineStr">
        <is>
          <t>incident-reporter</t>
        </is>
      </c>
      <c r="E3593">
        <f>HYPERLINK("http://gitlab.osmosys.co/incident-reporter/incident-reporter-app", "OQSHA Mobile App")</f>
        <v/>
      </c>
      <c r="F3593">
        <f>HYPERLINK("http://gitlab.osmosys.co/incident-reporter/incident-reporter-app/-/merge_requests/1836", "fix: client specific fixes on modules")</f>
        <v/>
      </c>
      <c r="G3593" t="inlineStr">
        <is>
          <t>fix/client-fixes</t>
        </is>
      </c>
      <c r="H3593" t="inlineStr">
        <is>
          <t>sprint-18</t>
        </is>
      </c>
      <c r="I3593" t="inlineStr">
        <is>
          <t>merged</t>
        </is>
      </c>
      <c r="J3593" t="inlineStr">
        <is>
          <t>36601d8e5d1f81af867544d08d9574fd03c692f9</t>
        </is>
      </c>
      <c r="K3593">
        <f>HYPERLINK("http://gitlab.osmosys.co/incident-reporter/incident-reporter-app/-/merge_requests/1836#note_242669", "In reported incident details page, this same filed mark as mandatory")</f>
        <v/>
      </c>
      <c r="L3593" t="inlineStr">
        <is>
          <t>2025-07-28 01:44:29.361 IST</t>
        </is>
      </c>
      <c r="M3593" t="inlineStr">
        <is>
          <t>Soundariya B</t>
        </is>
      </c>
      <c r="N3593" t="inlineStr">
        <is>
          <t>Yes</t>
        </is>
      </c>
      <c r="O3593" t="inlineStr">
        <is>
          <t>Yes</t>
        </is>
      </c>
      <c r="P3593" t="inlineStr">
        <is>
          <t>Soundariya B</t>
        </is>
      </c>
      <c r="Q3593" t="inlineStr">
        <is>
          <t>Bad</t>
        </is>
      </c>
    </row>
    <row r="3594">
      <c r="A3594" t="inlineStr">
        <is>
          <t>vaibhav.v</t>
        </is>
      </c>
      <c r="B3594" t="inlineStr">
        <is>
          <t>Vaibhav Varun</t>
        </is>
      </c>
      <c r="C3594" t="inlineStr">
        <is>
          <t>vaibhav.v@osmosys.co</t>
        </is>
      </c>
      <c r="D3594" t="inlineStr">
        <is>
          <t>incident-reporter</t>
        </is>
      </c>
      <c r="E3594">
        <f>HYPERLINK("http://gitlab.osmosys.co/incident-reporter/incident-reporter-app", "OQSHA Mobile App")</f>
        <v/>
      </c>
      <c r="F3594">
        <f>HYPERLINK("http://gitlab.osmosys.co/incident-reporter/incident-reporter-app/-/merge_requests/1836", "fix: client specific fixes on modules")</f>
        <v/>
      </c>
      <c r="G3594" t="inlineStr">
        <is>
          <t>fix/client-fixes</t>
        </is>
      </c>
      <c r="H3594" t="inlineStr">
        <is>
          <t>sprint-18</t>
        </is>
      </c>
      <c r="I3594" t="inlineStr">
        <is>
          <t>merged</t>
        </is>
      </c>
      <c r="J3594" t="inlineStr">
        <is>
          <t>36601d8e5d1f81af867544d08d9574fd03c692f9</t>
        </is>
      </c>
      <c r="K3594">
        <f>HYPERLINK("http://gitlab.osmosys.co/incident-reporter/incident-reporter-app/-/merge_requests/1836#note_242771", "Done")</f>
        <v/>
      </c>
      <c r="L3594" t="inlineStr">
        <is>
          <t>2025-07-28 11:20:00.689 IST</t>
        </is>
      </c>
      <c r="M3594" t="inlineStr">
        <is>
          <t>Vaibhav Varun</t>
        </is>
      </c>
      <c r="N3594" t="inlineStr">
        <is>
          <t>No</t>
        </is>
      </c>
      <c r="O3594" t="inlineStr">
        <is>
          <t>Yes</t>
        </is>
      </c>
      <c r="P3594" t="inlineStr">
        <is>
          <t>Soundariya B</t>
        </is>
      </c>
      <c r="Q3594" t="inlineStr">
        <is>
          <t>Bad</t>
        </is>
      </c>
    </row>
    <row r="3595">
      <c r="A3595" t="inlineStr">
        <is>
          <t>vaibhav.v</t>
        </is>
      </c>
      <c r="B3595" t="inlineStr">
        <is>
          <t>Vaibhav Varun</t>
        </is>
      </c>
      <c r="C3595" t="inlineStr">
        <is>
          <t>vaibhav.v@osmosys.co</t>
        </is>
      </c>
      <c r="D3595" t="inlineStr">
        <is>
          <t>incident-reporter</t>
        </is>
      </c>
      <c r="E3595">
        <f>HYPERLINK("http://gitlab.osmosys.co/incident-reporter/incident-reporter-app", "OQSHA Mobile App")</f>
        <v/>
      </c>
      <c r="F3595">
        <f>HYPERLINK("http://gitlab.osmosys.co/incident-reporter/incident-reporter-app/-/merge_requests/1836", "fix: client specific fixes on modules")</f>
        <v/>
      </c>
      <c r="G3595" t="inlineStr">
        <is>
          <t>fix/client-fixes</t>
        </is>
      </c>
      <c r="H3595" t="inlineStr">
        <is>
          <t>sprint-18</t>
        </is>
      </c>
      <c r="I3595" t="inlineStr">
        <is>
          <t>merged</t>
        </is>
      </c>
      <c r="J3595" t="inlineStr">
        <is>
          <t>2adc4f8ba42a2f7e03713e0329b0e857bff89865</t>
        </is>
      </c>
      <c r="K3595">
        <f>HYPERLINK("http://gitlab.osmosys.co/incident-reporter/incident-reporter-app/-/merge_requests/1836#note_242670", "As field is mandatory then anyone must be select right then this attribute is not needed")</f>
        <v/>
      </c>
      <c r="L3595" t="inlineStr">
        <is>
          <t>2025-07-28 01:44:29.435 IST</t>
        </is>
      </c>
      <c r="M3595" t="inlineStr">
        <is>
          <t>Soundariya B</t>
        </is>
      </c>
      <c r="N3595" t="inlineStr">
        <is>
          <t>Yes</t>
        </is>
      </c>
      <c r="O3595" t="inlineStr">
        <is>
          <t>Yes</t>
        </is>
      </c>
      <c r="P3595" t="inlineStr">
        <is>
          <t>Soundariya B</t>
        </is>
      </c>
      <c r="Q3595" t="inlineStr">
        <is>
          <t>Bad</t>
        </is>
      </c>
    </row>
    <row r="3596">
      <c r="A3596" t="inlineStr">
        <is>
          <t>vaibhav.v</t>
        </is>
      </c>
      <c r="B3596" t="inlineStr">
        <is>
          <t>Vaibhav Varun</t>
        </is>
      </c>
      <c r="C3596" t="inlineStr">
        <is>
          <t>vaibhav.v@osmosys.co</t>
        </is>
      </c>
      <c r="D3596" t="inlineStr">
        <is>
          <t>incident-reporter</t>
        </is>
      </c>
      <c r="E3596">
        <f>HYPERLINK("http://gitlab.osmosys.co/incident-reporter/incident-reporter-app", "OQSHA Mobile App")</f>
        <v/>
      </c>
      <c r="F3596">
        <f>HYPERLINK("http://gitlab.osmosys.co/incident-reporter/incident-reporter-app/-/merge_requests/1836", "fix: client specific fixes on modules")</f>
        <v/>
      </c>
      <c r="G3596" t="inlineStr">
        <is>
          <t>fix/client-fixes</t>
        </is>
      </c>
      <c r="H3596" t="inlineStr">
        <is>
          <t>sprint-18</t>
        </is>
      </c>
      <c r="I3596" t="inlineStr">
        <is>
          <t>merged</t>
        </is>
      </c>
      <c r="J3596" t="inlineStr">
        <is>
          <t>2adc4f8ba42a2f7e03713e0329b0e857bff89865</t>
        </is>
      </c>
      <c r="K3596">
        <f>HYPERLINK("http://gitlab.osmosys.co/incident-reporter/incident-reporter-app/-/merge_requests/1836#note_242772", "Done")</f>
        <v/>
      </c>
      <c r="L3596" t="inlineStr">
        <is>
          <t>2025-07-28 11:20:31.317 IST</t>
        </is>
      </c>
      <c r="M3596" t="inlineStr">
        <is>
          <t>Vaibhav Varun</t>
        </is>
      </c>
      <c r="N3596" t="inlineStr">
        <is>
          <t>No</t>
        </is>
      </c>
      <c r="O3596" t="inlineStr">
        <is>
          <t>Yes</t>
        </is>
      </c>
      <c r="P3596" t="inlineStr">
        <is>
          <t>Soundariya B</t>
        </is>
      </c>
      <c r="Q3596" t="inlineStr">
        <is>
          <t>Bad</t>
        </is>
      </c>
    </row>
    <row r="3597">
      <c r="A3597" t="inlineStr">
        <is>
          <t>vaibhav.v</t>
        </is>
      </c>
      <c r="B3597" t="inlineStr">
        <is>
          <t>Vaibhav Varun</t>
        </is>
      </c>
      <c r="C3597" t="inlineStr">
        <is>
          <t>vaibhav.v@osmosys.co</t>
        </is>
      </c>
      <c r="D3597" t="inlineStr">
        <is>
          <t>incident-reporter</t>
        </is>
      </c>
      <c r="E3597">
        <f>HYPERLINK("http://gitlab.osmosys.co/incident-reporter/incident-reporter-app", "OQSHA Mobile App")</f>
        <v/>
      </c>
      <c r="F3597">
        <f>HYPERLINK("http://gitlab.osmosys.co/incident-reporter/incident-reporter-app/-/merge_requests/1836", "fix: client specific fixes on modules")</f>
        <v/>
      </c>
      <c r="G3597" t="inlineStr">
        <is>
          <t>fix/client-fixes</t>
        </is>
      </c>
      <c r="H3597" t="inlineStr">
        <is>
          <t>sprint-18</t>
        </is>
      </c>
      <c r="I3597" t="inlineStr">
        <is>
          <t>merged</t>
        </is>
      </c>
      <c r="J3597" t="inlineStr">
        <is>
          <t>4139c5d995ceeb63a58143183221ebd1fbba54e5</t>
        </is>
      </c>
      <c r="K3597">
        <f>HYPERLINK("http://gitlab.osmosys.co/incident-reporter/incident-reporter-app/-/merge_requests/1836#note_242671", "I think only remove specifically for TTK org please confirm once with Raj because It wrote - 'Remove Action tracker title field' which means for action tracker title, not for task title.
After confirmation - please fix it everywhere")</f>
        <v/>
      </c>
      <c r="L3597" t="inlineStr">
        <is>
          <t>2025-07-28 01:44:29.513 IST</t>
        </is>
      </c>
      <c r="M3597" t="inlineStr">
        <is>
          <t>Soundariya B</t>
        </is>
      </c>
      <c r="N3597" t="inlineStr">
        <is>
          <t>Yes</t>
        </is>
      </c>
      <c r="O3597" t="inlineStr">
        <is>
          <t>Yes</t>
        </is>
      </c>
      <c r="P3597" t="inlineStr">
        <is>
          <t>Soundariya B</t>
        </is>
      </c>
      <c r="Q3597" t="inlineStr">
        <is>
          <t>Bad</t>
        </is>
      </c>
    </row>
    <row r="3598">
      <c r="A3598" t="inlineStr">
        <is>
          <t>vaibhav.v</t>
        </is>
      </c>
      <c r="B3598" t="inlineStr">
        <is>
          <t>Vaibhav Varun</t>
        </is>
      </c>
      <c r="C3598" t="inlineStr">
        <is>
          <t>vaibhav.v@osmosys.co</t>
        </is>
      </c>
      <c r="D3598" t="inlineStr">
        <is>
          <t>incident-reporter</t>
        </is>
      </c>
      <c r="E3598">
        <f>HYPERLINK("http://gitlab.osmosys.co/incident-reporter/incident-reporter-app", "OQSHA Mobile App")</f>
        <v/>
      </c>
      <c r="F3598">
        <f>HYPERLINK("http://gitlab.osmosys.co/incident-reporter/incident-reporter-app/-/merge_requests/1836", "fix: client specific fixes on modules")</f>
        <v/>
      </c>
      <c r="G3598" t="inlineStr">
        <is>
          <t>fix/client-fixes</t>
        </is>
      </c>
      <c r="H3598" t="inlineStr">
        <is>
          <t>sprint-18</t>
        </is>
      </c>
      <c r="I3598" t="inlineStr">
        <is>
          <t>merged</t>
        </is>
      </c>
      <c r="J3598" t="inlineStr">
        <is>
          <t>4139c5d995ceeb63a58143183221ebd1fbba54e5</t>
        </is>
      </c>
      <c r="K3598">
        <f>HYPERLINK("http://gitlab.osmosys.co/incident-reporter/incident-reporter-app/-/merge_requests/1836#note_242708", "Yeah it was supposed to be removed completely, discussed this yesterday on call.")</f>
        <v/>
      </c>
      <c r="L3598" t="inlineStr">
        <is>
          <t>2025-07-28 10:19:25.561 IST</t>
        </is>
      </c>
      <c r="M3598" t="inlineStr">
        <is>
          <t>Vaibhav Varun</t>
        </is>
      </c>
      <c r="N3598" t="inlineStr">
        <is>
          <t>No</t>
        </is>
      </c>
      <c r="O3598" t="inlineStr">
        <is>
          <t>Yes</t>
        </is>
      </c>
      <c r="P3598" t="inlineStr">
        <is>
          <t>Soundariya B</t>
        </is>
      </c>
      <c r="Q3598" t="inlineStr">
        <is>
          <t>Bad</t>
        </is>
      </c>
    </row>
    <row r="3599">
      <c r="A3599" t="inlineStr">
        <is>
          <t>vaibhav.v</t>
        </is>
      </c>
      <c r="B3599" t="inlineStr">
        <is>
          <t>Vaibhav Varun</t>
        </is>
      </c>
      <c r="C3599" t="inlineStr">
        <is>
          <t>vaibhav.v@osmosys.co</t>
        </is>
      </c>
      <c r="D3599" t="inlineStr">
        <is>
          <t>incident-reporter</t>
        </is>
      </c>
      <c r="E3599">
        <f>HYPERLINK("http://gitlab.osmosys.co/incident-reporter/incident-reporter-app", "OQSHA Mobile App")</f>
        <v/>
      </c>
      <c r="F3599">
        <f>HYPERLINK("http://gitlab.osmosys.co/incident-reporter/incident-reporter-app/-/merge_requests/1836", "fix: client specific fixes on modules")</f>
        <v/>
      </c>
      <c r="G3599" t="inlineStr">
        <is>
          <t>fix/client-fixes</t>
        </is>
      </c>
      <c r="H3599" t="inlineStr">
        <is>
          <t>sprint-18</t>
        </is>
      </c>
      <c r="I3599" t="inlineStr">
        <is>
          <t>merged</t>
        </is>
      </c>
      <c r="J3599" t="inlineStr">
        <is>
          <t>5456b688f66b83297051e69cc896cfc83292025a</t>
        </is>
      </c>
      <c r="K3599">
        <f>HYPERLINK("http://gitlab.osmosys.co/incident-reporter/incident-reporter-app/-/merge_requests/1836#note_242672", "Label key should be - alertDepartment")</f>
        <v/>
      </c>
      <c r="L3599" t="inlineStr">
        <is>
          <t>2025-07-28 01:44:29.596 IST</t>
        </is>
      </c>
      <c r="M3599" t="inlineStr">
        <is>
          <t>Soundariya B</t>
        </is>
      </c>
      <c r="N3599" t="inlineStr">
        <is>
          <t>Yes</t>
        </is>
      </c>
      <c r="O3599" t="inlineStr">
        <is>
          <t>Yes</t>
        </is>
      </c>
      <c r="P3599" t="inlineStr">
        <is>
          <t>Soundariya B</t>
        </is>
      </c>
      <c r="Q3599" t="inlineStr">
        <is>
          <t>Bad</t>
        </is>
      </c>
    </row>
    <row r="3600">
      <c r="A3600" t="inlineStr">
        <is>
          <t>vaibhav.v</t>
        </is>
      </c>
      <c r="B3600" t="inlineStr">
        <is>
          <t>Vaibhav Varun</t>
        </is>
      </c>
      <c r="C3600" t="inlineStr">
        <is>
          <t>vaibhav.v@osmosys.co</t>
        </is>
      </c>
      <c r="D3600" t="inlineStr">
        <is>
          <t>incident-reporter</t>
        </is>
      </c>
      <c r="E3600">
        <f>HYPERLINK("http://gitlab.osmosys.co/incident-reporter/incident-reporter-app", "OQSHA Mobile App")</f>
        <v/>
      </c>
      <c r="F3600">
        <f>HYPERLINK("http://gitlab.osmosys.co/incident-reporter/incident-reporter-app/-/merge_requests/1836", "fix: client specific fixes on modules")</f>
        <v/>
      </c>
      <c r="G3600" t="inlineStr">
        <is>
          <t>fix/client-fixes</t>
        </is>
      </c>
      <c r="H3600" t="inlineStr">
        <is>
          <t>sprint-18</t>
        </is>
      </c>
      <c r="I3600" t="inlineStr">
        <is>
          <t>merged</t>
        </is>
      </c>
      <c r="J3600" t="inlineStr">
        <is>
          <t>5456b688f66b83297051e69cc896cfc83292025a</t>
        </is>
      </c>
      <c r="K3600">
        <f>HYPERLINK("http://gitlab.osmosys.co/incident-reporter/incident-reporter-app/-/merge_requests/1836#note_242714", "since it has be common for 248 org and this org, we need to use the same variable cant change based on value here.")</f>
        <v/>
      </c>
      <c r="L3600" t="inlineStr">
        <is>
          <t>2025-07-28 10:20:03.178 IST</t>
        </is>
      </c>
      <c r="M3600" t="inlineStr">
        <is>
          <t>Vaibhav Varun</t>
        </is>
      </c>
      <c r="N3600" t="inlineStr">
        <is>
          <t>No</t>
        </is>
      </c>
      <c r="O3600" t="inlineStr">
        <is>
          <t>Yes</t>
        </is>
      </c>
      <c r="P3600" t="inlineStr">
        <is>
          <t>Soundariya B</t>
        </is>
      </c>
      <c r="Q3600" t="inlineStr">
        <is>
          <t>Bad</t>
        </is>
      </c>
    </row>
    <row r="3601">
      <c r="A3601" t="inlineStr">
        <is>
          <t>vaibhav.v</t>
        </is>
      </c>
      <c r="B3601" t="inlineStr">
        <is>
          <t>Vaibhav Varun</t>
        </is>
      </c>
      <c r="C3601" t="inlineStr">
        <is>
          <t>vaibhav.v@osmosys.co</t>
        </is>
      </c>
      <c r="D3601" t="inlineStr">
        <is>
          <t>incident-reporter</t>
        </is>
      </c>
      <c r="E3601">
        <f>HYPERLINK("http://gitlab.osmosys.co/incident-reporter/incident-reporter-app", "OQSHA Mobile App")</f>
        <v/>
      </c>
      <c r="F3601">
        <f>HYPERLINK("http://gitlab.osmosys.co/incident-reporter/incident-reporter-app/-/merge_requests/1836", "fix: client specific fixes on modules")</f>
        <v/>
      </c>
      <c r="G3601" t="inlineStr">
        <is>
          <t>fix/client-fixes</t>
        </is>
      </c>
      <c r="H3601" t="inlineStr">
        <is>
          <t>sprint-18</t>
        </is>
      </c>
      <c r="I3601" t="inlineStr">
        <is>
          <t>merged</t>
        </is>
      </c>
      <c r="J3601" t="inlineStr">
        <is>
          <t>5456b688f66b83297051e69cc896cfc83292025a</t>
        </is>
      </c>
      <c r="K3601">
        <f>HYPERLINK("http://gitlab.osmosys.co/incident-reporter/incident-reporter-app/-/merge_requests/1836#note_242928", "For this ref portal PR comment")</f>
        <v/>
      </c>
      <c r="L3601" t="inlineStr">
        <is>
          <t>2025-07-28 13:21:05.167 IST</t>
        </is>
      </c>
      <c r="M3601" t="inlineStr">
        <is>
          <t>Soundariya B</t>
        </is>
      </c>
      <c r="N3601" t="inlineStr">
        <is>
          <t>Yes</t>
        </is>
      </c>
      <c r="O3601" t="inlineStr">
        <is>
          <t>Yes</t>
        </is>
      </c>
      <c r="P3601" t="inlineStr">
        <is>
          <t>Soundariya B</t>
        </is>
      </c>
      <c r="Q3601" t="inlineStr">
        <is>
          <t>Bad</t>
        </is>
      </c>
    </row>
    <row r="3602">
      <c r="A3602" t="inlineStr">
        <is>
          <t>vaibhav.v</t>
        </is>
      </c>
      <c r="B3602" t="inlineStr">
        <is>
          <t>Vaibhav Varun</t>
        </is>
      </c>
      <c r="C3602" t="inlineStr">
        <is>
          <t>vaibhav.v@osmosys.co</t>
        </is>
      </c>
      <c r="D3602" t="inlineStr">
        <is>
          <t>incident-reporter</t>
        </is>
      </c>
      <c r="E3602">
        <f>HYPERLINK("http://gitlab.osmosys.co/incident-reporter/incident-reporter-app", "OQSHA Mobile App")</f>
        <v/>
      </c>
      <c r="F3602">
        <f>HYPERLINK("http://gitlab.osmosys.co/incident-reporter/incident-reporter-app/-/merge_requests/1836", "fix: client specific fixes on modules")</f>
        <v/>
      </c>
      <c r="G3602" t="inlineStr">
        <is>
          <t>fix/client-fixes</t>
        </is>
      </c>
      <c r="H3602" t="inlineStr">
        <is>
          <t>sprint-18</t>
        </is>
      </c>
      <c r="I3602" t="inlineStr">
        <is>
          <t>merged</t>
        </is>
      </c>
      <c r="J3602" t="inlineStr">
        <is>
          <t>5456b688f66b83297051e69cc896cfc83292025a</t>
        </is>
      </c>
      <c r="K3602">
        <f>HYPERLINK("http://gitlab.osmosys.co/incident-reporter/incident-reporter-app/-/merge_requests/1836#note_242938", "I have answered this")</f>
        <v/>
      </c>
      <c r="L3602" t="inlineStr">
        <is>
          <t>2025-07-28 13:27:26.470 IST</t>
        </is>
      </c>
      <c r="M3602" t="inlineStr">
        <is>
          <t>Vaibhav Varun</t>
        </is>
      </c>
      <c r="N3602" t="inlineStr">
        <is>
          <t>No</t>
        </is>
      </c>
      <c r="O3602" t="inlineStr">
        <is>
          <t>Yes</t>
        </is>
      </c>
      <c r="P3602" t="inlineStr">
        <is>
          <t>Soundariya B</t>
        </is>
      </c>
      <c r="Q3602" t="inlineStr">
        <is>
          <t>Bad</t>
        </is>
      </c>
    </row>
    <row r="3603">
      <c r="A3603" t="inlineStr">
        <is>
          <t>vaibhav.v</t>
        </is>
      </c>
      <c r="B3603" t="inlineStr">
        <is>
          <t>Vaibhav Varun</t>
        </is>
      </c>
      <c r="C3603" t="inlineStr">
        <is>
          <t>vaibhav.v@osmosys.co</t>
        </is>
      </c>
      <c r="D3603" t="inlineStr">
        <is>
          <t>incident-reporter</t>
        </is>
      </c>
      <c r="E3603">
        <f>HYPERLINK("http://gitlab.osmosys.co/incident-reporter/incident-reporter-app", "OQSHA Mobile App")</f>
        <v/>
      </c>
      <c r="F3603">
        <f>HYPERLINK("http://gitlab.osmosys.co/incident-reporter/incident-reporter-app/-/merge_requests/1836", "fix: client specific fixes on modules")</f>
        <v/>
      </c>
      <c r="G3603" t="inlineStr">
        <is>
          <t>fix/client-fixes</t>
        </is>
      </c>
      <c r="H3603" t="inlineStr">
        <is>
          <t>sprint-18</t>
        </is>
      </c>
      <c r="I3603" t="inlineStr">
        <is>
          <t>merged</t>
        </is>
      </c>
      <c r="J3603" t="inlineStr">
        <is>
          <t>b268c2ef480670885d91e41a131dfc0671b109c9</t>
        </is>
      </c>
      <c r="K3603">
        <f>HYPERLINK("http://gitlab.osmosys.co/incident-reporter/incident-reporter-app/-/merge_requests/1836#note_242673", "It should be addLogs")</f>
        <v/>
      </c>
      <c r="L3603" t="inlineStr">
        <is>
          <t>2025-07-28 01:44:29.645 IST</t>
        </is>
      </c>
      <c r="M3603" t="inlineStr">
        <is>
          <t>Soundariya B</t>
        </is>
      </c>
      <c r="N3603" t="inlineStr">
        <is>
          <t>Yes</t>
        </is>
      </c>
      <c r="O3603" t="inlineStr">
        <is>
          <t>Yes</t>
        </is>
      </c>
      <c r="P3603" t="inlineStr">
        <is>
          <t>Soundariya B</t>
        </is>
      </c>
      <c r="Q3603" t="inlineStr">
        <is>
          <t>Bad</t>
        </is>
      </c>
    </row>
    <row r="3604">
      <c r="A3604" t="inlineStr">
        <is>
          <t>vaibhav.v</t>
        </is>
      </c>
      <c r="B3604" t="inlineStr">
        <is>
          <t>Vaibhav Varun</t>
        </is>
      </c>
      <c r="C3604" t="inlineStr">
        <is>
          <t>vaibhav.v@osmosys.co</t>
        </is>
      </c>
      <c r="D3604" t="inlineStr">
        <is>
          <t>incident-reporter</t>
        </is>
      </c>
      <c r="E3604">
        <f>HYPERLINK("http://gitlab.osmosys.co/incident-reporter/incident-reporter-app", "OQSHA Mobile App")</f>
        <v/>
      </c>
      <c r="F3604">
        <f>HYPERLINK("http://gitlab.osmosys.co/incident-reporter/incident-reporter-app/-/merge_requests/1836", "fix: client specific fixes on modules")</f>
        <v/>
      </c>
      <c r="G3604" t="inlineStr">
        <is>
          <t>fix/client-fixes</t>
        </is>
      </c>
      <c r="H3604" t="inlineStr">
        <is>
          <t>sprint-18</t>
        </is>
      </c>
      <c r="I3604" t="inlineStr">
        <is>
          <t>merged</t>
        </is>
      </c>
      <c r="J3604" t="inlineStr">
        <is>
          <t>b268c2ef480670885d91e41a131dfc0671b109c9</t>
        </is>
      </c>
      <c r="K3604">
        <f>HYPERLINK("http://gitlab.osmosys.co/incident-reporter/incident-reporter-app/-/merge_requests/1836#note_242715", "same reason given for 248 org above.")</f>
        <v/>
      </c>
      <c r="L3604" t="inlineStr">
        <is>
          <t>2025-07-28 10:20:15.519 IST</t>
        </is>
      </c>
      <c r="M3604" t="inlineStr">
        <is>
          <t>Vaibhav Varun</t>
        </is>
      </c>
      <c r="N3604" t="inlineStr">
        <is>
          <t>No</t>
        </is>
      </c>
      <c r="O3604" t="inlineStr">
        <is>
          <t>Yes</t>
        </is>
      </c>
      <c r="P3604" t="inlineStr">
        <is>
          <t>Soundariya B</t>
        </is>
      </c>
      <c r="Q3604" t="inlineStr">
        <is>
          <t>Bad</t>
        </is>
      </c>
    </row>
    <row r="3605">
      <c r="A3605" t="inlineStr">
        <is>
          <t>vaibhav.v</t>
        </is>
      </c>
      <c r="B3605" t="inlineStr">
        <is>
          <t>Vaibhav Varun</t>
        </is>
      </c>
      <c r="C3605" t="inlineStr">
        <is>
          <t>vaibhav.v@osmosys.co</t>
        </is>
      </c>
      <c r="D3605" t="inlineStr">
        <is>
          <t>incident-reporter</t>
        </is>
      </c>
      <c r="E3605">
        <f>HYPERLINK("http://gitlab.osmosys.co/incident-reporter/incident-reporter-app", "OQSHA Mobile App")</f>
        <v/>
      </c>
      <c r="F3605">
        <f>HYPERLINK("http://gitlab.osmosys.co/incident-reporter/incident-reporter-app/-/merge_requests/1836", "fix: client specific fixes on modules")</f>
        <v/>
      </c>
      <c r="G3605" t="inlineStr">
        <is>
          <t>fix/client-fixes</t>
        </is>
      </c>
      <c r="H3605" t="inlineStr">
        <is>
          <t>sprint-18</t>
        </is>
      </c>
      <c r="I3605" t="inlineStr">
        <is>
          <t>merged</t>
        </is>
      </c>
      <c r="J3605" t="inlineStr">
        <is>
          <t>b268c2ef480670885d91e41a131dfc0671b109c9</t>
        </is>
      </c>
      <c r="K3605">
        <f>HYPERLINK("http://gitlab.osmosys.co/incident-reporter/incident-reporter-app/-/merge_requests/1836#note_242929", "For this ref portal PR comment")</f>
        <v/>
      </c>
      <c r="L3605" t="inlineStr">
        <is>
          <t>2025-07-28 13:21:14.250 IST</t>
        </is>
      </c>
      <c r="M3605" t="inlineStr">
        <is>
          <t>Soundariya B</t>
        </is>
      </c>
      <c r="N3605" t="inlineStr">
        <is>
          <t>Yes</t>
        </is>
      </c>
      <c r="O3605" t="inlineStr">
        <is>
          <t>Yes</t>
        </is>
      </c>
      <c r="P3605" t="inlineStr">
        <is>
          <t>Soundariya B</t>
        </is>
      </c>
      <c r="Q3605" t="inlineStr">
        <is>
          <t>Bad</t>
        </is>
      </c>
    </row>
    <row r="3606">
      <c r="A3606" t="inlineStr">
        <is>
          <t>vaibhav.v</t>
        </is>
      </c>
      <c r="B3606" t="inlineStr">
        <is>
          <t>Vaibhav Varun</t>
        </is>
      </c>
      <c r="C3606" t="inlineStr">
        <is>
          <t>vaibhav.v@osmosys.co</t>
        </is>
      </c>
      <c r="D3606" t="inlineStr">
        <is>
          <t>incident-reporter</t>
        </is>
      </c>
      <c r="E3606">
        <f>HYPERLINK("http://gitlab.osmosys.co/incident-reporter/incident-reporter-app", "OQSHA Mobile App")</f>
        <v/>
      </c>
      <c r="F3606">
        <f>HYPERLINK("http://gitlab.osmosys.co/incident-reporter/incident-reporter-app/-/merge_requests/1836", "fix: client specific fixes on modules")</f>
        <v/>
      </c>
      <c r="G3606" t="inlineStr">
        <is>
          <t>fix/client-fixes</t>
        </is>
      </c>
      <c r="H3606" t="inlineStr">
        <is>
          <t>sprint-18</t>
        </is>
      </c>
      <c r="I3606" t="inlineStr">
        <is>
          <t>merged</t>
        </is>
      </c>
      <c r="J3606" t="inlineStr">
        <is>
          <t>b268c2ef480670885d91e41a131dfc0671b109c9</t>
        </is>
      </c>
      <c r="K3606">
        <f>HYPERLINK("http://gitlab.osmosys.co/incident-reporter/incident-reporter-app/-/merge_requests/1836#note_242939", "Already cleared")</f>
        <v/>
      </c>
      <c r="L3606" t="inlineStr">
        <is>
          <t>2025-07-28 13:29:55.124 IST</t>
        </is>
      </c>
      <c r="M3606" t="inlineStr">
        <is>
          <t>Vaibhav Varun</t>
        </is>
      </c>
      <c r="N3606" t="inlineStr">
        <is>
          <t>No</t>
        </is>
      </c>
      <c r="O3606" t="inlineStr">
        <is>
          <t>Yes</t>
        </is>
      </c>
      <c r="P3606" t="inlineStr">
        <is>
          <t>Soundariya B</t>
        </is>
      </c>
      <c r="Q3606" t="inlineStr">
        <is>
          <t>Bad</t>
        </is>
      </c>
    </row>
    <row r="3607">
      <c r="A3607" t="inlineStr">
        <is>
          <t>vaibhav.v</t>
        </is>
      </c>
      <c r="B3607" t="inlineStr">
        <is>
          <t>Vaibhav Varun</t>
        </is>
      </c>
      <c r="C3607" t="inlineStr">
        <is>
          <t>vaibhav.v@osmosys.co</t>
        </is>
      </c>
      <c r="D3607" t="inlineStr">
        <is>
          <t>incident-reporter</t>
        </is>
      </c>
      <c r="E3607">
        <f>HYPERLINK("http://gitlab.osmosys.co/incident-reporter/incident-reporter-app", "OQSHA Mobile App")</f>
        <v/>
      </c>
      <c r="F3607">
        <f>HYPERLINK("http://gitlab.osmosys.co/incident-reporter/incident-reporter-app/-/merge_requests/1836", "fix: client specific fixes on modules")</f>
        <v/>
      </c>
      <c r="G3607" t="inlineStr">
        <is>
          <t>fix/client-fixes</t>
        </is>
      </c>
      <c r="H3607" t="inlineStr">
        <is>
          <t>sprint-18</t>
        </is>
      </c>
      <c r="I3607" t="inlineStr">
        <is>
          <t>merged</t>
        </is>
      </c>
      <c r="J3607" t="inlineStr">
        <is>
          <t>01f1cb028430741e88db713b2c577bcf5969544d</t>
        </is>
      </c>
      <c r="K3607">
        <f>HYPERLINK("http://gitlab.osmosys.co/incident-reporter/incident-reporter-app/-/merge_requests/1836#note_242675", "1. Show "Source" column before "Action" column - make it a button with eye icon instead of Hyperlink.
2. For TTK, only sites dropdown in report now/add ticket page should show all sites - not all other places. - This should be done in app as well like in filters and form
3. Rename "Department" to "Alert department" (Specifically for TTK)
4. Bring "Department" next to "Category"
These are not yet done for app")</f>
        <v/>
      </c>
      <c r="L3607" t="inlineStr">
        <is>
          <t>2025-07-28 01:48:32.792 IST</t>
        </is>
      </c>
      <c r="M3607" t="inlineStr">
        <is>
          <t>Soundariya B</t>
        </is>
      </c>
      <c r="N3607" t="inlineStr">
        <is>
          <t>Yes</t>
        </is>
      </c>
      <c r="O3607" t="inlineStr">
        <is>
          <t>Yes</t>
        </is>
      </c>
      <c r="P3607" t="inlineStr">
        <is>
          <t>Soundariya B</t>
        </is>
      </c>
      <c r="Q3607" t="inlineStr">
        <is>
          <t>Bad</t>
        </is>
      </c>
    </row>
    <row r="3608">
      <c r="A3608" t="inlineStr">
        <is>
          <t>vaibhav.v</t>
        </is>
      </c>
      <c r="B3608" t="inlineStr">
        <is>
          <t>Vaibhav Varun</t>
        </is>
      </c>
      <c r="C3608" t="inlineStr">
        <is>
          <t>vaibhav.v@osmosys.co</t>
        </is>
      </c>
      <c r="D3608" t="inlineStr">
        <is>
          <t>incident-reporter</t>
        </is>
      </c>
      <c r="E3608">
        <f>HYPERLINK("http://gitlab.osmosys.co/incident-reporter/incident-reporter-app", "OQSHA Mobile App")</f>
        <v/>
      </c>
      <c r="F3608">
        <f>HYPERLINK("http://gitlab.osmosys.co/incident-reporter/incident-reporter-app/-/merge_requests/1836", "fix: client specific fixes on modules")</f>
        <v/>
      </c>
      <c r="G3608" t="inlineStr">
        <is>
          <t>fix/client-fixes</t>
        </is>
      </c>
      <c r="H3608" t="inlineStr">
        <is>
          <t>sprint-18</t>
        </is>
      </c>
      <c r="I3608" t="inlineStr">
        <is>
          <t>merged</t>
        </is>
      </c>
      <c r="J3608" t="inlineStr">
        <is>
          <t>01f1cb028430741e88db713b2c577bcf5969544d</t>
        </is>
      </c>
      <c r="K3608">
        <f>HYPERLINK("http://gitlab.osmosys.co/incident-reporter/incident-reporter-app/-/merge_requests/1836#note_242716", "1st is Portal  
2nd was already done by Kulsreshtha  
3rd I think you mentioned it as a comment already you can check  
4th done")</f>
        <v/>
      </c>
      <c r="L3608" t="inlineStr">
        <is>
          <t>2025-07-28 10:21:23.940 IST</t>
        </is>
      </c>
      <c r="M3608" t="inlineStr">
        <is>
          <t>Vaibhav Varun</t>
        </is>
      </c>
      <c r="N3608" t="inlineStr">
        <is>
          <t>No</t>
        </is>
      </c>
      <c r="O3608" t="inlineStr">
        <is>
          <t>Yes</t>
        </is>
      </c>
      <c r="P3608" t="inlineStr">
        <is>
          <t>Soundariya B</t>
        </is>
      </c>
      <c r="Q3608" t="inlineStr">
        <is>
          <t>Bad</t>
        </is>
      </c>
    </row>
    <row r="3609">
      <c r="A3609" t="inlineStr">
        <is>
          <t>vaibhav.v</t>
        </is>
      </c>
      <c r="B3609" t="inlineStr">
        <is>
          <t>Vaibhav Varun</t>
        </is>
      </c>
      <c r="C3609" t="inlineStr">
        <is>
          <t>vaibhav.v@osmosys.co</t>
        </is>
      </c>
      <c r="D3609" t="inlineStr">
        <is>
          <t>incident-reporter</t>
        </is>
      </c>
      <c r="E3609">
        <f>HYPERLINK("http://gitlab.osmosys.co/incident-reporter/incident-reporter-app", "OQSHA Mobile App")</f>
        <v/>
      </c>
      <c r="F3609">
        <f>HYPERLINK("http://gitlab.osmosys.co/incident-reporter/incident-reporter-app/-/merge_requests/1831", "feat: add condition on ptw copy")</f>
        <v/>
      </c>
      <c r="G3609" t="inlineStr">
        <is>
          <t>feat/allow-ptw-copy</t>
        </is>
      </c>
      <c r="H3609" t="inlineStr">
        <is>
          <t>sprint-18</t>
        </is>
      </c>
      <c r="I3609" t="inlineStr">
        <is>
          <t>merged</t>
        </is>
      </c>
      <c r="J3609" t="inlineStr"/>
      <c r="K3609" t="inlineStr"/>
      <c r="L3609" t="inlineStr"/>
      <c r="M3609" t="inlineStr"/>
      <c r="N3609" t="inlineStr"/>
      <c r="O3609" t="inlineStr"/>
      <c r="P3609" t="inlineStr"/>
      <c r="Q3609" t="inlineStr"/>
    </row>
    <row r="3610">
      <c r="A3610" t="inlineStr">
        <is>
          <t>vaibhav.v</t>
        </is>
      </c>
      <c r="B3610" t="inlineStr">
        <is>
          <t>Vaibhav Varun</t>
        </is>
      </c>
      <c r="C3610" t="inlineStr">
        <is>
          <t>vaibhav.v@osmosys.co</t>
        </is>
      </c>
      <c r="D3610" t="inlineStr">
        <is>
          <t>incident-reporter</t>
        </is>
      </c>
      <c r="E3610">
        <f>HYPERLINK("http://gitlab.osmosys.co/incident-reporter/incident-reporter-app", "OQSHA Mobile App")</f>
        <v/>
      </c>
      <c r="F3610">
        <f>HYPERLINK("http://gitlab.osmosys.co/incident-reporter/incident-reporter-app/-/merge_requests/1830", "fix: remove due date auto populate")</f>
        <v/>
      </c>
      <c r="G3610" t="inlineStr">
        <is>
          <t>fix/fix-date</t>
        </is>
      </c>
      <c r="H3610" t="inlineStr">
        <is>
          <t>sprint-18</t>
        </is>
      </c>
      <c r="I3610" t="inlineStr">
        <is>
          <t>merged</t>
        </is>
      </c>
      <c r="J3610" t="inlineStr"/>
      <c r="K3610" t="inlineStr"/>
      <c r="L3610" t="inlineStr"/>
      <c r="M3610" t="inlineStr"/>
      <c r="N3610" t="inlineStr"/>
      <c r="O3610" t="inlineStr"/>
      <c r="P3610" t="inlineStr"/>
      <c r="Q3610" t="inlineStr"/>
    </row>
    <row r="3611">
      <c r="A3611" t="inlineStr">
        <is>
          <t>vaibhav.v</t>
        </is>
      </c>
      <c r="B3611" t="inlineStr">
        <is>
          <t>Vaibhav Varun</t>
        </is>
      </c>
      <c r="C3611" t="inlineStr">
        <is>
          <t>vaibhav.v@osmosys.co</t>
        </is>
      </c>
      <c r="D3611" t="inlineStr">
        <is>
          <t>incident-reporter</t>
        </is>
      </c>
      <c r="E3611">
        <f>HYPERLINK("http://gitlab.osmosys.co/incident-reporter/incident-reporter-app", "OQSHA Mobile App")</f>
        <v/>
      </c>
      <c r="F3611">
        <f>HYPERLINK("http://gitlab.osmosys.co/incident-reporter/incident-reporter-app/-/merge_requests/1825", "fix: fix filters on modules")</f>
        <v/>
      </c>
      <c r="G3611" t="inlineStr">
        <is>
          <t>fix/fix-filters</t>
        </is>
      </c>
      <c r="H3611" t="inlineStr">
        <is>
          <t>sprint-17</t>
        </is>
      </c>
      <c r="I3611" t="inlineStr">
        <is>
          <t>merged</t>
        </is>
      </c>
      <c r="J3611" t="inlineStr"/>
      <c r="K3611" t="inlineStr"/>
      <c r="L3611" t="inlineStr"/>
      <c r="M3611" t="inlineStr"/>
      <c r="N3611" t="inlineStr"/>
      <c r="O3611" t="inlineStr"/>
      <c r="P3611" t="inlineStr"/>
      <c r="Q3611" t="inlineStr"/>
    </row>
    <row r="3612">
      <c r="A3612" t="inlineStr">
        <is>
          <t>vaibhav.v</t>
        </is>
      </c>
      <c r="B3612" t="inlineStr">
        <is>
          <t>Vaibhav Varun</t>
        </is>
      </c>
      <c r="C3612" t="inlineStr">
        <is>
          <t>vaibhav.v@osmosys.co</t>
        </is>
      </c>
      <c r="D3612" t="inlineStr">
        <is>
          <t>incident-reporter</t>
        </is>
      </c>
      <c r="E3612">
        <f>HYPERLINK("http://gitlab.osmosys.co/incident-reporter/incident-reporter-app", "OQSHA Mobile App")</f>
        <v/>
      </c>
      <c r="F3612">
        <f>HYPERLINK("http://gitlab.osmosys.co/incident-reporter/incident-reporter-app/-/merge_requests/1799", "fix: department disable remove")</f>
        <v/>
      </c>
      <c r="G3612" t="inlineStr">
        <is>
          <t>fix/department-disable</t>
        </is>
      </c>
      <c r="H3612" t="inlineStr">
        <is>
          <t>sprint-17</t>
        </is>
      </c>
      <c r="I3612" t="inlineStr">
        <is>
          <t>merged</t>
        </is>
      </c>
      <c r="J3612" t="inlineStr"/>
      <c r="K3612" t="inlineStr"/>
      <c r="L3612" t="inlineStr"/>
      <c r="M3612" t="inlineStr"/>
      <c r="N3612" t="inlineStr"/>
      <c r="O3612" t="inlineStr"/>
      <c r="P3612" t="inlineStr"/>
      <c r="Q3612" t="inlineStr"/>
    </row>
    <row r="3613">
      <c r="A3613" t="inlineStr">
        <is>
          <t>vaibhav.v</t>
        </is>
      </c>
      <c r="B3613" t="inlineStr">
        <is>
          <t>Vaibhav Varun</t>
        </is>
      </c>
      <c r="C3613" t="inlineStr">
        <is>
          <t>vaibhav.v@osmosys.co</t>
        </is>
      </c>
      <c r="D3613" t="inlineStr">
        <is>
          <t>incident-reporter</t>
        </is>
      </c>
      <c r="E3613">
        <f>HYPERLINK("http://gitlab.osmosys.co/incident-reporter/incident-reporter-app", "OQSHA Mobile App")</f>
        <v/>
      </c>
      <c r="F3613">
        <f>HYPERLINK("http://gitlab.osmosys.co/incident-reporter/incident-reporter-app/-/merge_requests/1792", "fix: fix department api to get")</f>
        <v/>
      </c>
      <c r="G3613" t="inlineStr">
        <is>
          <t>fix/get-department</t>
        </is>
      </c>
      <c r="H3613" t="inlineStr">
        <is>
          <t>sprint-17</t>
        </is>
      </c>
      <c r="I3613" t="inlineStr">
        <is>
          <t>merged</t>
        </is>
      </c>
      <c r="J3613" t="inlineStr">
        <is>
          <t>fd8fc354c23c5a7824110cc00569cf69ad811a2e</t>
        </is>
      </c>
      <c r="K3613">
        <f>HYPERLINK("http://gitlab.osmosys.co/incident-reporter/incident-reporter-app/-/merge_requests/1792#note_238449", "* Please get the api method from respective component service itself not from other services and do the api change from post to get in that service only and use it
**This thread applies same in all other places**")</f>
        <v/>
      </c>
      <c r="L3613" t="inlineStr">
        <is>
          <t>2025-07-17 16:16:14.142 IST</t>
        </is>
      </c>
      <c r="M3613" t="inlineStr">
        <is>
          <t>Soundariya B</t>
        </is>
      </c>
      <c r="N3613" t="inlineStr">
        <is>
          <t>Yes</t>
        </is>
      </c>
      <c r="O3613" t="inlineStr">
        <is>
          <t>Yes</t>
        </is>
      </c>
      <c r="P3613" t="inlineStr">
        <is>
          <t>Soundariya B</t>
        </is>
      </c>
      <c r="Q3613" t="inlineStr">
        <is>
          <t>Neutral</t>
        </is>
      </c>
    </row>
    <row r="3614">
      <c r="A3614" t="inlineStr">
        <is>
          <t>vaibhav.v</t>
        </is>
      </c>
      <c r="B3614" t="inlineStr">
        <is>
          <t>Vaibhav Varun</t>
        </is>
      </c>
      <c r="C3614" t="inlineStr">
        <is>
          <t>vaibhav.v@osmosys.co</t>
        </is>
      </c>
      <c r="D3614" t="inlineStr">
        <is>
          <t>incident-reporter</t>
        </is>
      </c>
      <c r="E3614">
        <f>HYPERLINK("http://gitlab.osmosys.co/incident-reporter/incident-reporter-app", "OQSHA Mobile App")</f>
        <v/>
      </c>
      <c r="F3614">
        <f>HYPERLINK("http://gitlab.osmosys.co/incident-reporter/incident-reporter-app/-/merge_requests/1792", "fix: fix department api to get")</f>
        <v/>
      </c>
      <c r="G3614" t="inlineStr">
        <is>
          <t>fix/get-department</t>
        </is>
      </c>
      <c r="H3614" t="inlineStr">
        <is>
          <t>sprint-17</t>
        </is>
      </c>
      <c r="I3614" t="inlineStr">
        <is>
          <t>merged</t>
        </is>
      </c>
      <c r="J3614" t="inlineStr">
        <is>
          <t>fd8fc354c23c5a7824110cc00569cf69ad811a2e</t>
        </is>
      </c>
      <c r="K3614">
        <f>HYPERLINK("http://gitlab.osmosys.co/incident-reporter/incident-reporter-app/-/merge_requests/1792#note_238462", "Not required we discussed")</f>
        <v/>
      </c>
      <c r="L3614" t="inlineStr">
        <is>
          <t>2025-07-17 16:34:02.597 IST</t>
        </is>
      </c>
      <c r="M3614" t="inlineStr">
        <is>
          <t>Vaibhav Varun</t>
        </is>
      </c>
      <c r="N3614" t="inlineStr">
        <is>
          <t>No</t>
        </is>
      </c>
      <c r="O3614" t="inlineStr">
        <is>
          <t>Yes</t>
        </is>
      </c>
      <c r="P3614" t="inlineStr">
        <is>
          <t>Soundariya B</t>
        </is>
      </c>
      <c r="Q3614" t="inlineStr">
        <is>
          <t>Neutral</t>
        </is>
      </c>
    </row>
    <row r="3615">
      <c r="A3615" t="inlineStr">
        <is>
          <t>vaibhav.v</t>
        </is>
      </c>
      <c r="B3615" t="inlineStr">
        <is>
          <t>Vaibhav Varun</t>
        </is>
      </c>
      <c r="C3615" t="inlineStr">
        <is>
          <t>vaibhav.v@osmosys.co</t>
        </is>
      </c>
      <c r="D3615" t="inlineStr">
        <is>
          <t>incident-reporter</t>
        </is>
      </c>
      <c r="E3615">
        <f>HYPERLINK("http://gitlab.osmosys.co/incident-reporter/incident-reporter-app", "OQSHA Mobile App")</f>
        <v/>
      </c>
      <c r="F3615">
        <f>HYPERLINK("http://gitlab.osmosys.co/incident-reporter/incident-reporter-app/-/merge_requests/1792", "fix: fix department api to get")</f>
        <v/>
      </c>
      <c r="G3615" t="inlineStr">
        <is>
          <t>fix/get-department</t>
        </is>
      </c>
      <c r="H3615" t="inlineStr">
        <is>
          <t>sprint-17</t>
        </is>
      </c>
      <c r="I3615" t="inlineStr">
        <is>
          <t>merged</t>
        </is>
      </c>
      <c r="J3615" t="inlineStr">
        <is>
          <t>fd8fc354c23c5a7824110cc00569cf69ad811a2e</t>
        </is>
      </c>
      <c r="K3615">
        <f>HYPERLINK("http://gitlab.osmosys.co/incident-reporter/incident-reporter-app/-/merge_requests/1792#note_238506", "For the first point - As got confirm with Raj that should be fix it later so for now its ok
![image.png](/uploads/93cac5d0c67b55b54a414918c71ab946/image.png)")</f>
        <v/>
      </c>
      <c r="L3615" t="inlineStr">
        <is>
          <t>2025-07-17 16:59:04.160 IST</t>
        </is>
      </c>
      <c r="M3615" t="inlineStr">
        <is>
          <t>Soundariya B</t>
        </is>
      </c>
      <c r="N3615" t="inlineStr">
        <is>
          <t>Yes</t>
        </is>
      </c>
      <c r="O3615" t="inlineStr">
        <is>
          <t>Yes</t>
        </is>
      </c>
      <c r="P3615" t="inlineStr">
        <is>
          <t>Soundariya B</t>
        </is>
      </c>
      <c r="Q3615" t="inlineStr">
        <is>
          <t>Neutral</t>
        </is>
      </c>
    </row>
    <row r="3616">
      <c r="A3616" t="inlineStr">
        <is>
          <t>vaibhav.v</t>
        </is>
      </c>
      <c r="B3616" t="inlineStr">
        <is>
          <t>Vaibhav Varun</t>
        </is>
      </c>
      <c r="C3616" t="inlineStr">
        <is>
          <t>vaibhav.v@osmosys.co</t>
        </is>
      </c>
      <c r="D3616" t="inlineStr">
        <is>
          <t>incident-reporter</t>
        </is>
      </c>
      <c r="E3616">
        <f>HYPERLINK("http://gitlab.osmosys.co/incident-reporter/incident-reporter-app", "OQSHA Mobile App")</f>
        <v/>
      </c>
      <c r="F3616">
        <f>HYPERLINK("http://gitlab.osmosys.co/incident-reporter/incident-reporter-app/-/merge_requests/1792", "fix: fix department api to get")</f>
        <v/>
      </c>
      <c r="G3616" t="inlineStr">
        <is>
          <t>fix/get-department</t>
        </is>
      </c>
      <c r="H3616" t="inlineStr">
        <is>
          <t>sprint-17</t>
        </is>
      </c>
      <c r="I3616" t="inlineStr">
        <is>
          <t>merged</t>
        </is>
      </c>
      <c r="J3616" t="inlineStr">
        <is>
          <t>beed45504ee36172a8c0213801e90645e1445c17</t>
        </is>
      </c>
      <c r="K3616">
        <f>HYPERLINK("http://gitlab.osmosys.co/incident-reporter/incident-reporter-app/-/merge_requests/1792#note_238450", "* Use the meaning full variable name - x doesn't make sense
**This thread applies same in all other places**")</f>
        <v/>
      </c>
      <c r="L3616" t="inlineStr">
        <is>
          <t>2025-07-17 16:16:14.244 IST</t>
        </is>
      </c>
      <c r="M3616" t="inlineStr">
        <is>
          <t>Soundariya B</t>
        </is>
      </c>
      <c r="N3616" t="inlineStr">
        <is>
          <t>Yes</t>
        </is>
      </c>
      <c r="O3616" t="inlineStr">
        <is>
          <t>Yes</t>
        </is>
      </c>
      <c r="P3616" t="inlineStr">
        <is>
          <t>Soundariya B</t>
        </is>
      </c>
      <c r="Q3616" t="inlineStr">
        <is>
          <t>Bad</t>
        </is>
      </c>
    </row>
    <row r="3617">
      <c r="A3617" t="inlineStr">
        <is>
          <t>vaibhav.v</t>
        </is>
      </c>
      <c r="B3617" t="inlineStr">
        <is>
          <t>Vaibhav Varun</t>
        </is>
      </c>
      <c r="C3617" t="inlineStr">
        <is>
          <t>vaibhav.v@osmosys.co</t>
        </is>
      </c>
      <c r="D3617" t="inlineStr">
        <is>
          <t>incident-reporter</t>
        </is>
      </c>
      <c r="E3617">
        <f>HYPERLINK("http://gitlab.osmosys.co/incident-reporter/incident-reporter-app", "OQSHA Mobile App")</f>
        <v/>
      </c>
      <c r="F3617">
        <f>HYPERLINK("http://gitlab.osmosys.co/incident-reporter/incident-reporter-app/-/merge_requests/1792", "fix: fix department api to get")</f>
        <v/>
      </c>
      <c r="G3617" t="inlineStr">
        <is>
          <t>fix/get-department</t>
        </is>
      </c>
      <c r="H3617" t="inlineStr">
        <is>
          <t>sprint-17</t>
        </is>
      </c>
      <c r="I3617" t="inlineStr">
        <is>
          <t>merged</t>
        </is>
      </c>
      <c r="J3617" t="inlineStr">
        <is>
          <t>15df4d958dd7f37ddf2c11220a6f2e1d59968095</t>
        </is>
      </c>
      <c r="K3617">
        <f>HYPERLINK("http://gitlab.osmosys.co/incident-reporter/incident-reporter-app/-/merge_requests/1792#note_238451", "Test cases are not match with the changes please update it")</f>
        <v/>
      </c>
      <c r="L3617" t="inlineStr">
        <is>
          <t>2025-07-17 16:16:14.303 IST</t>
        </is>
      </c>
      <c r="M3617" t="inlineStr">
        <is>
          <t>Soundariya B</t>
        </is>
      </c>
      <c r="N3617" t="inlineStr">
        <is>
          <t>Yes</t>
        </is>
      </c>
      <c r="O3617" t="inlineStr">
        <is>
          <t>Yes</t>
        </is>
      </c>
      <c r="P3617" t="inlineStr">
        <is>
          <t>Soundariya B</t>
        </is>
      </c>
      <c r="Q3617" t="inlineStr">
        <is>
          <t>Bad</t>
        </is>
      </c>
    </row>
    <row r="3618">
      <c r="A3618" t="inlineStr">
        <is>
          <t>vaibhav.v</t>
        </is>
      </c>
      <c r="B3618" t="inlineStr">
        <is>
          <t>Vaibhav Varun</t>
        </is>
      </c>
      <c r="C3618" t="inlineStr">
        <is>
          <t>vaibhav.v@osmosys.co</t>
        </is>
      </c>
      <c r="D3618" t="inlineStr">
        <is>
          <t>incident-reporter</t>
        </is>
      </c>
      <c r="E3618">
        <f>HYPERLINK("http://gitlab.osmosys.co/incident-reporter/incident-reporter-app", "OQSHA Mobile App")</f>
        <v/>
      </c>
      <c r="F3618">
        <f>HYPERLINK("http://gitlab.osmosys.co/incident-reporter/incident-reporter-app/-/merge_requests/1792", "fix: fix department api to get")</f>
        <v/>
      </c>
      <c r="G3618" t="inlineStr">
        <is>
          <t>fix/get-department</t>
        </is>
      </c>
      <c r="H3618" t="inlineStr">
        <is>
          <t>sprint-17</t>
        </is>
      </c>
      <c r="I3618" t="inlineStr">
        <is>
          <t>merged</t>
        </is>
      </c>
      <c r="J3618" t="inlineStr">
        <is>
          <t>15df4d958dd7f37ddf2c11220a6f2e1d59968095</t>
        </is>
      </c>
      <c r="K3618">
        <f>HYPERLINK("http://gitlab.osmosys.co/incident-reporter/incident-reporter-app/-/merge_requests/1792#note_238463", "done")</f>
        <v/>
      </c>
      <c r="L3618" t="inlineStr">
        <is>
          <t>2025-07-17 16:34:53.745 IST</t>
        </is>
      </c>
      <c r="M3618" t="inlineStr">
        <is>
          <t>Vaibhav Varun</t>
        </is>
      </c>
      <c r="N3618" t="inlineStr">
        <is>
          <t>No</t>
        </is>
      </c>
      <c r="O3618" t="inlineStr">
        <is>
          <t>Yes</t>
        </is>
      </c>
      <c r="P3618" t="inlineStr">
        <is>
          <t>Soundariya B</t>
        </is>
      </c>
      <c r="Q3618" t="inlineStr">
        <is>
          <t>Bad</t>
        </is>
      </c>
    </row>
    <row r="3619">
      <c r="A3619" t="inlineStr">
        <is>
          <t>vaibhav.v</t>
        </is>
      </c>
      <c r="B3619" t="inlineStr">
        <is>
          <t>Vaibhav Varun</t>
        </is>
      </c>
      <c r="C3619" t="inlineStr">
        <is>
          <t>vaibhav.v@osmosys.co</t>
        </is>
      </c>
      <c r="D3619" t="inlineStr">
        <is>
          <t>incident-reporter</t>
        </is>
      </c>
      <c r="E3619">
        <f>HYPERLINK("http://gitlab.osmosys.co/incident-reporter/incident-reporter-app", "OQSHA Mobile App")</f>
        <v/>
      </c>
      <c r="F3619">
        <f>HYPERLINK("http://gitlab.osmosys.co/incident-reporter/incident-reporter-app/-/merge_requests/1789", "feat: add training filter")</f>
        <v/>
      </c>
      <c r="G3619" t="inlineStr">
        <is>
          <t>feat/training-filter</t>
        </is>
      </c>
      <c r="H3619" t="inlineStr">
        <is>
          <t>sprint-17</t>
        </is>
      </c>
      <c r="I3619" t="inlineStr">
        <is>
          <t>merged</t>
        </is>
      </c>
      <c r="J3619" t="inlineStr">
        <is>
          <t>9d0850789f6c6449e329136697fe98645061a529</t>
        </is>
      </c>
      <c r="K3619">
        <f>HYPERLINK("http://gitlab.osmosys.co/incident-reporter/incident-reporter-app/-/merge_requests/1789#note_238122", "* Can you take the routes from the constant file?
* Can you take these boolean values dynamically from ts? Reason is if in future the requirement will change for this values then it will work")</f>
        <v/>
      </c>
      <c r="L3619" t="inlineStr">
        <is>
          <t>2025-07-17 12:12:00.832 IST</t>
        </is>
      </c>
      <c r="M3619" t="inlineStr">
        <is>
          <t>Soundariya B</t>
        </is>
      </c>
      <c r="N3619" t="inlineStr">
        <is>
          <t>Yes</t>
        </is>
      </c>
      <c r="O3619" t="inlineStr">
        <is>
          <t>Yes</t>
        </is>
      </c>
      <c r="P3619" t="inlineStr">
        <is>
          <t>Soundariya B</t>
        </is>
      </c>
      <c r="Q3619" t="inlineStr">
        <is>
          <t>Bad</t>
        </is>
      </c>
    </row>
    <row r="3620">
      <c r="A3620" t="inlineStr">
        <is>
          <t>vaibhav.v</t>
        </is>
      </c>
      <c r="B3620" t="inlineStr">
        <is>
          <t>Vaibhav Varun</t>
        </is>
      </c>
      <c r="C3620" t="inlineStr">
        <is>
          <t>vaibhav.v@osmosys.co</t>
        </is>
      </c>
      <c r="D3620" t="inlineStr">
        <is>
          <t>incident-reporter</t>
        </is>
      </c>
      <c r="E3620">
        <f>HYPERLINK("http://gitlab.osmosys.co/incident-reporter/incident-reporter-app", "OQSHA Mobile App")</f>
        <v/>
      </c>
      <c r="F3620">
        <f>HYPERLINK("http://gitlab.osmosys.co/incident-reporter/incident-reporter-app/-/merge_requests/1789", "feat: add training filter")</f>
        <v/>
      </c>
      <c r="G3620" t="inlineStr">
        <is>
          <t>feat/training-filter</t>
        </is>
      </c>
      <c r="H3620" t="inlineStr">
        <is>
          <t>sprint-17</t>
        </is>
      </c>
      <c r="I3620" t="inlineStr">
        <is>
          <t>merged</t>
        </is>
      </c>
      <c r="J3620" t="inlineStr">
        <is>
          <t>9d0850789f6c6449e329136697fe98645061a529</t>
        </is>
      </c>
      <c r="K3620">
        <f>HYPERLINK("http://gitlab.osmosys.co/incident-reporter/incident-reporter-app/-/merge_requests/1789#note_238241", "These are params not route, so kept it like that only, but changed for truthy values")</f>
        <v/>
      </c>
      <c r="L3620" t="inlineStr">
        <is>
          <t>2025-07-17 12:54:05.458 IST</t>
        </is>
      </c>
      <c r="M3620" t="inlineStr">
        <is>
          <t>Vaibhav Varun</t>
        </is>
      </c>
      <c r="N3620" t="inlineStr">
        <is>
          <t>No</t>
        </is>
      </c>
      <c r="O3620" t="inlineStr">
        <is>
          <t>Yes</t>
        </is>
      </c>
      <c r="P3620" t="inlineStr">
        <is>
          <t>Soundariya B</t>
        </is>
      </c>
      <c r="Q3620" t="inlineStr">
        <is>
          <t>Bad</t>
        </is>
      </c>
    </row>
    <row r="3621">
      <c r="A3621" t="inlineStr">
        <is>
          <t>vaibhav.v</t>
        </is>
      </c>
      <c r="B3621" t="inlineStr">
        <is>
          <t>Vaibhav Varun</t>
        </is>
      </c>
      <c r="C3621" t="inlineStr">
        <is>
          <t>vaibhav.v@osmosys.co</t>
        </is>
      </c>
      <c r="D3621" t="inlineStr">
        <is>
          <t>incident-reporter</t>
        </is>
      </c>
      <c r="E3621">
        <f>HYPERLINK("http://gitlab.osmosys.co/incident-reporter/incident-reporter-app", "OQSHA Mobile App")</f>
        <v/>
      </c>
      <c r="F3621">
        <f>HYPERLINK("http://gitlab.osmosys.co/incident-reporter/incident-reporter-app/-/merge_requests/1789", "feat: add training filter")</f>
        <v/>
      </c>
      <c r="G3621" t="inlineStr">
        <is>
          <t>feat/training-filter</t>
        </is>
      </c>
      <c r="H3621" t="inlineStr">
        <is>
          <t>sprint-17</t>
        </is>
      </c>
      <c r="I3621" t="inlineStr">
        <is>
          <t>merged</t>
        </is>
      </c>
      <c r="J3621" t="inlineStr">
        <is>
          <t>9d0850789f6c6449e329136697fe98645061a529</t>
        </is>
      </c>
      <c r="K3621">
        <f>HYPERLINK("http://gitlab.osmosys.co/incident-reporter/incident-reporter-app/-/merge_requests/1789#note_238273", "If you check in other places these things are taken from constant and I didn't asked to take the truthly value from constant I said to make it as dynamic
Please read the comment which is clearly mentioned and understand then do the changes")</f>
        <v/>
      </c>
      <c r="L3621" t="inlineStr">
        <is>
          <t>2025-07-17 13:20:19.139 IST</t>
        </is>
      </c>
      <c r="M3621" t="inlineStr">
        <is>
          <t>Soundariya B</t>
        </is>
      </c>
      <c r="N3621" t="inlineStr">
        <is>
          <t>Yes</t>
        </is>
      </c>
      <c r="O3621" t="inlineStr">
        <is>
          <t>Yes</t>
        </is>
      </c>
      <c r="P3621" t="inlineStr">
        <is>
          <t>Soundariya B</t>
        </is>
      </c>
      <c r="Q3621" t="inlineStr">
        <is>
          <t>Bad</t>
        </is>
      </c>
    </row>
    <row r="3622">
      <c r="A3622" t="inlineStr">
        <is>
          <t>vaibhav.v</t>
        </is>
      </c>
      <c r="B3622" t="inlineStr">
        <is>
          <t>Vaibhav Varun</t>
        </is>
      </c>
      <c r="C3622" t="inlineStr">
        <is>
          <t>vaibhav.v@osmosys.co</t>
        </is>
      </c>
      <c r="D3622" t="inlineStr">
        <is>
          <t>incident-reporter</t>
        </is>
      </c>
      <c r="E3622">
        <f>HYPERLINK("http://gitlab.osmosys.co/incident-reporter/incident-reporter-app", "OQSHA Mobile App")</f>
        <v/>
      </c>
      <c r="F3622">
        <f>HYPERLINK("http://gitlab.osmosys.co/incident-reporter/incident-reporter-app/-/merge_requests/1789", "feat: add training filter")</f>
        <v/>
      </c>
      <c r="G3622" t="inlineStr">
        <is>
          <t>feat/training-filter</t>
        </is>
      </c>
      <c r="H3622" t="inlineStr">
        <is>
          <t>sprint-17</t>
        </is>
      </c>
      <c r="I3622" t="inlineStr">
        <is>
          <t>merged</t>
        </is>
      </c>
      <c r="J3622" t="inlineStr">
        <is>
          <t>9d0850789f6c6449e329136697fe98645061a529</t>
        </is>
      </c>
      <c r="K3622">
        <f>HYPERLINK("http://gitlab.osmosys.co/incident-reporter/incident-reporter-app/-/merge_requests/1789#note_238338", "Changed")</f>
        <v/>
      </c>
      <c r="L3622" t="inlineStr">
        <is>
          <t>2025-07-17 14:49:31.198 IST</t>
        </is>
      </c>
      <c r="M3622" t="inlineStr">
        <is>
          <t>Vaibhav Varun</t>
        </is>
      </c>
      <c r="N3622" t="inlineStr">
        <is>
          <t>No</t>
        </is>
      </c>
      <c r="O3622" t="inlineStr">
        <is>
          <t>Yes</t>
        </is>
      </c>
      <c r="P3622" t="inlineStr">
        <is>
          <t>Soundariya B</t>
        </is>
      </c>
      <c r="Q3622" t="inlineStr">
        <is>
          <t>Bad</t>
        </is>
      </c>
    </row>
    <row r="3623">
      <c r="A3623" t="inlineStr">
        <is>
          <t>vaibhav.v</t>
        </is>
      </c>
      <c r="B3623" t="inlineStr">
        <is>
          <t>Vaibhav Varun</t>
        </is>
      </c>
      <c r="C3623" t="inlineStr">
        <is>
          <t>vaibhav.v@osmosys.co</t>
        </is>
      </c>
      <c r="D3623" t="inlineStr">
        <is>
          <t>incident-reporter</t>
        </is>
      </c>
      <c r="E3623">
        <f>HYPERLINK("http://gitlab.osmosys.co/incident-reporter/incident-reporter-app", "OQSHA Mobile App")</f>
        <v/>
      </c>
      <c r="F3623">
        <f>HYPERLINK("http://gitlab.osmosys.co/incident-reporter/incident-reporter-app/-/merge_requests/1789", "feat: add training filter")</f>
        <v/>
      </c>
      <c r="G3623" t="inlineStr">
        <is>
          <t>feat/training-filter</t>
        </is>
      </c>
      <c r="H3623" t="inlineStr">
        <is>
          <t>sprint-17</t>
        </is>
      </c>
      <c r="I3623" t="inlineStr">
        <is>
          <t>merged</t>
        </is>
      </c>
      <c r="J3623" t="inlineStr">
        <is>
          <t>cebd7a20fcc0da388d3515d675ef70ba4f34b9ea</t>
        </is>
      </c>
      <c r="K3623">
        <f>HYPERLINK("http://gitlab.osmosys.co/incident-reporter/incident-reporter-app/-/merge_requests/1789#note_238123", "Classname should be lbl-filter")</f>
        <v/>
      </c>
      <c r="L3623" t="inlineStr">
        <is>
          <t>2025-07-17 12:12:00.914 IST</t>
        </is>
      </c>
      <c r="M3623" t="inlineStr">
        <is>
          <t>Soundariya B</t>
        </is>
      </c>
      <c r="N3623" t="inlineStr">
        <is>
          <t>Yes</t>
        </is>
      </c>
      <c r="O3623" t="inlineStr">
        <is>
          <t>Yes</t>
        </is>
      </c>
      <c r="P3623" t="inlineStr">
        <is>
          <t>Soundariya B</t>
        </is>
      </c>
      <c r="Q3623" t="inlineStr">
        <is>
          <t>Bad</t>
        </is>
      </c>
    </row>
    <row r="3624">
      <c r="A3624" t="inlineStr">
        <is>
          <t>vaibhav.v</t>
        </is>
      </c>
      <c r="B3624" t="inlineStr">
        <is>
          <t>Vaibhav Varun</t>
        </is>
      </c>
      <c r="C3624" t="inlineStr">
        <is>
          <t>vaibhav.v@osmosys.co</t>
        </is>
      </c>
      <c r="D3624" t="inlineStr">
        <is>
          <t>incident-reporter</t>
        </is>
      </c>
      <c r="E3624">
        <f>HYPERLINK("http://gitlab.osmosys.co/incident-reporter/incident-reporter-app", "OQSHA Mobile App")</f>
        <v/>
      </c>
      <c r="F3624">
        <f>HYPERLINK("http://gitlab.osmosys.co/incident-reporter/incident-reporter-app/-/merge_requests/1789", "feat: add training filter")</f>
        <v/>
      </c>
      <c r="G3624" t="inlineStr">
        <is>
          <t>feat/training-filter</t>
        </is>
      </c>
      <c r="H3624" t="inlineStr">
        <is>
          <t>sprint-17</t>
        </is>
      </c>
      <c r="I3624" t="inlineStr">
        <is>
          <t>merged</t>
        </is>
      </c>
      <c r="J3624" t="inlineStr">
        <is>
          <t>cebd7a20fcc0da388d3515d675ef70ba4f34b9ea</t>
        </is>
      </c>
      <c r="K3624">
        <f>HYPERLINK("http://gitlab.osmosys.co/incident-reporter/incident-reporter-app/-/merge_requests/1789#note_238213", "Changed")</f>
        <v/>
      </c>
      <c r="L3624" t="inlineStr">
        <is>
          <t>2025-07-17 12:49:54.325 IST</t>
        </is>
      </c>
      <c r="M3624" t="inlineStr">
        <is>
          <t>Vaibhav Varun</t>
        </is>
      </c>
      <c r="N3624" t="inlineStr">
        <is>
          <t>No</t>
        </is>
      </c>
      <c r="O3624" t="inlineStr">
        <is>
          <t>Yes</t>
        </is>
      </c>
      <c r="P3624" t="inlineStr">
        <is>
          <t>Soundariya B</t>
        </is>
      </c>
      <c r="Q3624" t="inlineStr">
        <is>
          <t>Bad</t>
        </is>
      </c>
    </row>
    <row r="3625">
      <c r="A3625" t="inlineStr">
        <is>
          <t>vaibhav.v</t>
        </is>
      </c>
      <c r="B3625" t="inlineStr">
        <is>
          <t>Vaibhav Varun</t>
        </is>
      </c>
      <c r="C3625" t="inlineStr">
        <is>
          <t>vaibhav.v@osmosys.co</t>
        </is>
      </c>
      <c r="D3625" t="inlineStr">
        <is>
          <t>incident-reporter</t>
        </is>
      </c>
      <c r="E3625">
        <f>HYPERLINK("http://gitlab.osmosys.co/incident-reporter/incident-reporter-app", "OQSHA Mobile App")</f>
        <v/>
      </c>
      <c r="F3625">
        <f>HYPERLINK("http://gitlab.osmosys.co/incident-reporter/incident-reporter-app/-/merge_requests/1789", "feat: add training filter")</f>
        <v/>
      </c>
      <c r="G3625" t="inlineStr">
        <is>
          <t>feat/training-filter</t>
        </is>
      </c>
      <c r="H3625" t="inlineStr">
        <is>
          <t>sprint-17</t>
        </is>
      </c>
      <c r="I3625" t="inlineStr">
        <is>
          <t>merged</t>
        </is>
      </c>
      <c r="J3625" t="inlineStr">
        <is>
          <t>e22100f45b168d315a37cba246059accf95cefe3</t>
        </is>
      </c>
      <c r="K3625">
        <f>HYPERLINK("http://gitlab.osmosys.co/incident-reporter/incident-reporter-app/-/merge_requests/1789#note_238124", "Remove all unnecessary !importants")</f>
        <v/>
      </c>
      <c r="L3625" t="inlineStr">
        <is>
          <t>2025-07-17 12:12:00.987 IST</t>
        </is>
      </c>
      <c r="M3625" t="inlineStr">
        <is>
          <t>Soundariya B</t>
        </is>
      </c>
      <c r="N3625" t="inlineStr">
        <is>
          <t>Yes</t>
        </is>
      </c>
      <c r="O3625" t="inlineStr">
        <is>
          <t>Yes</t>
        </is>
      </c>
      <c r="P3625" t="inlineStr">
        <is>
          <t>Soundariya B</t>
        </is>
      </c>
      <c r="Q3625" t="inlineStr">
        <is>
          <t>Bad</t>
        </is>
      </c>
    </row>
    <row r="3626">
      <c r="A3626" t="inlineStr">
        <is>
          <t>vaibhav.v</t>
        </is>
      </c>
      <c r="B3626" t="inlineStr">
        <is>
          <t>Vaibhav Varun</t>
        </is>
      </c>
      <c r="C3626" t="inlineStr">
        <is>
          <t>vaibhav.v@osmosys.co</t>
        </is>
      </c>
      <c r="D3626" t="inlineStr">
        <is>
          <t>incident-reporter</t>
        </is>
      </c>
      <c r="E3626">
        <f>HYPERLINK("http://gitlab.osmosys.co/incident-reporter/incident-reporter-app", "OQSHA Mobile App")</f>
        <v/>
      </c>
      <c r="F3626">
        <f>HYPERLINK("http://gitlab.osmosys.co/incident-reporter/incident-reporter-app/-/merge_requests/1789", "feat: add training filter")</f>
        <v/>
      </c>
      <c r="G3626" t="inlineStr">
        <is>
          <t>feat/training-filter</t>
        </is>
      </c>
      <c r="H3626" t="inlineStr">
        <is>
          <t>sprint-17</t>
        </is>
      </c>
      <c r="I3626" t="inlineStr">
        <is>
          <t>merged</t>
        </is>
      </c>
      <c r="J3626" t="inlineStr">
        <is>
          <t>e22100f45b168d315a37cba246059accf95cefe3</t>
        </is>
      </c>
      <c r="K3626">
        <f>HYPERLINK("http://gitlab.osmosys.co/incident-reporter/incident-reporter-app/-/merge_requests/1789#note_238211", "All are necessary, I did check.")</f>
        <v/>
      </c>
      <c r="L3626" t="inlineStr">
        <is>
          <t>2025-07-17 12:48:28.318 IST</t>
        </is>
      </c>
      <c r="M3626" t="inlineStr">
        <is>
          <t>Vaibhav Varun</t>
        </is>
      </c>
      <c r="N3626" t="inlineStr">
        <is>
          <t>No</t>
        </is>
      </c>
      <c r="O3626" t="inlineStr">
        <is>
          <t>Yes</t>
        </is>
      </c>
      <c r="P3626" t="inlineStr">
        <is>
          <t>Soundariya B</t>
        </is>
      </c>
      <c r="Q3626" t="inlineStr">
        <is>
          <t>Bad</t>
        </is>
      </c>
    </row>
    <row r="3627">
      <c r="A3627" t="inlineStr">
        <is>
          <t>vaibhav.v</t>
        </is>
      </c>
      <c r="B3627" t="inlineStr">
        <is>
          <t>Vaibhav Varun</t>
        </is>
      </c>
      <c r="C3627" t="inlineStr">
        <is>
          <t>vaibhav.v@osmosys.co</t>
        </is>
      </c>
      <c r="D3627" t="inlineStr">
        <is>
          <t>incident-reporter</t>
        </is>
      </c>
      <c r="E3627">
        <f>HYPERLINK("http://gitlab.osmosys.co/incident-reporter/incident-reporter-app", "OQSHA Mobile App")</f>
        <v/>
      </c>
      <c r="F3627">
        <f>HYPERLINK("http://gitlab.osmosys.co/incident-reporter/incident-reporter-app/-/merge_requests/1789", "feat: add training filter")</f>
        <v/>
      </c>
      <c r="G3627" t="inlineStr">
        <is>
          <t>feat/training-filter</t>
        </is>
      </c>
      <c r="H3627" t="inlineStr">
        <is>
          <t>sprint-17</t>
        </is>
      </c>
      <c r="I3627" t="inlineStr">
        <is>
          <t>merged</t>
        </is>
      </c>
      <c r="J3627" t="inlineStr">
        <is>
          <t>e22100f45b168d315a37cba246059accf95cefe3</t>
        </is>
      </c>
      <c r="K3627">
        <f>HYPERLINK("http://gitlab.osmosys.co/incident-reporter/incident-reporter-app/-/merge_requests/1789#note_238275", "I don't think so please check it properly especially which are without ng-deep that don't need !important notation or otherwise some is wrong in your HTML")</f>
        <v/>
      </c>
      <c r="L3627" t="inlineStr">
        <is>
          <t>2025-07-17 13:21:43.173 IST</t>
        </is>
      </c>
      <c r="M3627" t="inlineStr">
        <is>
          <t>Soundariya B</t>
        </is>
      </c>
      <c r="N3627" t="inlineStr">
        <is>
          <t>Yes</t>
        </is>
      </c>
      <c r="O3627" t="inlineStr">
        <is>
          <t>Yes</t>
        </is>
      </c>
      <c r="P3627" t="inlineStr">
        <is>
          <t>Soundariya B</t>
        </is>
      </c>
      <c r="Q3627" t="inlineStr">
        <is>
          <t>Bad</t>
        </is>
      </c>
    </row>
    <row r="3628">
      <c r="A3628" t="inlineStr">
        <is>
          <t>vaibhav.v</t>
        </is>
      </c>
      <c r="B3628" t="inlineStr">
        <is>
          <t>Vaibhav Varun</t>
        </is>
      </c>
      <c r="C3628" t="inlineStr">
        <is>
          <t>vaibhav.v@osmosys.co</t>
        </is>
      </c>
      <c r="D3628" t="inlineStr">
        <is>
          <t>incident-reporter</t>
        </is>
      </c>
      <c r="E3628">
        <f>HYPERLINK("http://gitlab.osmosys.co/incident-reporter/incident-reporter-app", "OQSHA Mobile App")</f>
        <v/>
      </c>
      <c r="F3628">
        <f>HYPERLINK("http://gitlab.osmosys.co/incident-reporter/incident-reporter-app/-/merge_requests/1789", "feat: add training filter")</f>
        <v/>
      </c>
      <c r="G3628" t="inlineStr">
        <is>
          <t>feat/training-filter</t>
        </is>
      </c>
      <c r="H3628" t="inlineStr">
        <is>
          <t>sprint-17</t>
        </is>
      </c>
      <c r="I3628" t="inlineStr">
        <is>
          <t>merged</t>
        </is>
      </c>
      <c r="J3628" t="inlineStr">
        <is>
          <t>e22100f45b168d315a37cba246059accf95cefe3</t>
        </is>
      </c>
      <c r="K3628">
        <f>HYPERLINK("http://gitlab.osmosys.co/incident-reporter/incident-reporter-app/-/merge_requests/1789#note_238337", "Changed")</f>
        <v/>
      </c>
      <c r="L3628" t="inlineStr">
        <is>
          <t>2025-07-17 14:49:22.380 IST</t>
        </is>
      </c>
      <c r="M3628" t="inlineStr">
        <is>
          <t>Vaibhav Varun</t>
        </is>
      </c>
      <c r="N3628" t="inlineStr">
        <is>
          <t>No</t>
        </is>
      </c>
      <c r="O3628" t="inlineStr">
        <is>
          <t>Yes</t>
        </is>
      </c>
      <c r="P3628" t="inlineStr">
        <is>
          <t>Soundariya B</t>
        </is>
      </c>
      <c r="Q3628" t="inlineStr">
        <is>
          <t>Bad</t>
        </is>
      </c>
    </row>
    <row r="3629">
      <c r="A3629" t="inlineStr">
        <is>
          <t>vaibhav.v</t>
        </is>
      </c>
      <c r="B3629" t="inlineStr">
        <is>
          <t>Vaibhav Varun</t>
        </is>
      </c>
      <c r="C3629" t="inlineStr">
        <is>
          <t>vaibhav.v@osmosys.co</t>
        </is>
      </c>
      <c r="D3629" t="inlineStr">
        <is>
          <t>incident-reporter</t>
        </is>
      </c>
      <c r="E3629">
        <f>HYPERLINK("http://gitlab.osmosys.co/incident-reporter/incident-reporter-app", "OQSHA Mobile App")</f>
        <v/>
      </c>
      <c r="F3629">
        <f>HYPERLINK("http://gitlab.osmosys.co/incident-reporter/incident-reporter-app/-/merge_requests/1789", "feat: add training filter")</f>
        <v/>
      </c>
      <c r="G3629" t="inlineStr">
        <is>
          <t>feat/training-filter</t>
        </is>
      </c>
      <c r="H3629" t="inlineStr">
        <is>
          <t>sprint-17</t>
        </is>
      </c>
      <c r="I3629" t="inlineStr">
        <is>
          <t>merged</t>
        </is>
      </c>
      <c r="J3629" t="inlineStr">
        <is>
          <t>8583bcc163ece64013f1f6d86308135248056d4f</t>
        </is>
      </c>
      <c r="K3629">
        <f>HYPERLINK("http://gitlab.osmosys.co/incident-reporter/incident-reporter-app/-/merge_requests/1789#note_238125", "For the course component, why are these services used?")</f>
        <v/>
      </c>
      <c r="L3629" t="inlineStr">
        <is>
          <t>2025-07-17 12:12:01.060 IST</t>
        </is>
      </c>
      <c r="M3629" t="inlineStr">
        <is>
          <t>Soundariya B</t>
        </is>
      </c>
      <c r="N3629" t="inlineStr">
        <is>
          <t>Yes</t>
        </is>
      </c>
      <c r="O3629" t="inlineStr">
        <is>
          <t>Yes</t>
        </is>
      </c>
      <c r="P3629" t="inlineStr">
        <is>
          <t>Soundariya B</t>
        </is>
      </c>
      <c r="Q3629" t="inlineStr">
        <is>
          <t>Bad</t>
        </is>
      </c>
    </row>
    <row r="3630">
      <c r="A3630" t="inlineStr">
        <is>
          <t>vaibhav.v</t>
        </is>
      </c>
      <c r="B3630" t="inlineStr">
        <is>
          <t>Vaibhav Varun</t>
        </is>
      </c>
      <c r="C3630" t="inlineStr">
        <is>
          <t>vaibhav.v@osmosys.co</t>
        </is>
      </c>
      <c r="D3630" t="inlineStr">
        <is>
          <t>incident-reporter</t>
        </is>
      </c>
      <c r="E3630">
        <f>HYPERLINK("http://gitlab.osmosys.co/incident-reporter/incident-reporter-app", "OQSHA Mobile App")</f>
        <v/>
      </c>
      <c r="F3630">
        <f>HYPERLINK("http://gitlab.osmosys.co/incident-reporter/incident-reporter-app/-/merge_requests/1789", "feat: add training filter")</f>
        <v/>
      </c>
      <c r="G3630" t="inlineStr">
        <is>
          <t>feat/training-filter</t>
        </is>
      </c>
      <c r="H3630" t="inlineStr">
        <is>
          <t>sprint-17</t>
        </is>
      </c>
      <c r="I3630" t="inlineStr">
        <is>
          <t>merged</t>
        </is>
      </c>
      <c r="J3630" t="inlineStr">
        <is>
          <t>8583bcc163ece64013f1f6d86308135248056d4f</t>
        </is>
      </c>
      <c r="K3630">
        <f>HYPERLINK("http://gitlab.osmosys.co/incident-reporter/incident-reporter-app/-/merge_requests/1789#note_238210", "Removed anything if not requried.")</f>
        <v/>
      </c>
      <c r="L3630" t="inlineStr">
        <is>
          <t>2025-07-17 12:47:44.405 IST</t>
        </is>
      </c>
      <c r="M3630" t="inlineStr">
        <is>
          <t>Vaibhav Varun</t>
        </is>
      </c>
      <c r="N3630" t="inlineStr">
        <is>
          <t>No</t>
        </is>
      </c>
      <c r="O3630" t="inlineStr">
        <is>
          <t>Yes</t>
        </is>
      </c>
      <c r="P3630" t="inlineStr">
        <is>
          <t>Soundariya B</t>
        </is>
      </c>
      <c r="Q3630" t="inlineStr">
        <is>
          <t>Bad</t>
        </is>
      </c>
    </row>
    <row r="3631">
      <c r="A3631" t="inlineStr">
        <is>
          <t>vaibhav.v</t>
        </is>
      </c>
      <c r="B3631" t="inlineStr">
        <is>
          <t>Vaibhav Varun</t>
        </is>
      </c>
      <c r="C3631" t="inlineStr">
        <is>
          <t>vaibhav.v@osmosys.co</t>
        </is>
      </c>
      <c r="D3631" t="inlineStr">
        <is>
          <t>incident-reporter</t>
        </is>
      </c>
      <c r="E3631">
        <f>HYPERLINK("http://gitlab.osmosys.co/incident-reporter/incident-reporter-app", "OQSHA Mobile App")</f>
        <v/>
      </c>
      <c r="F3631">
        <f>HYPERLINK("http://gitlab.osmosys.co/incident-reporter/incident-reporter-app/-/merge_requests/1789", "feat: add training filter")</f>
        <v/>
      </c>
      <c r="G3631" t="inlineStr">
        <is>
          <t>feat/training-filter</t>
        </is>
      </c>
      <c r="H3631" t="inlineStr">
        <is>
          <t>sprint-17</t>
        </is>
      </c>
      <c r="I3631" t="inlineStr">
        <is>
          <t>merged</t>
        </is>
      </c>
      <c r="J3631" t="inlineStr">
        <is>
          <t>b4a667c73146623361ffc15adfe828581269eec4</t>
        </is>
      </c>
      <c r="K3631">
        <f>HYPERLINK("http://gitlab.osmosys.co/incident-reporter/incident-reporter-app/-/merge_requests/1789#note_238126", "Same here why unrelated services are using in this component please try to make separate as Sameer said and confirm in one of his PR so raising this thread")</f>
        <v/>
      </c>
      <c r="L3631" t="inlineStr">
        <is>
          <t>2025-07-17 12:12:01.143 IST</t>
        </is>
      </c>
      <c r="M3631" t="inlineStr">
        <is>
          <t>Soundariya B</t>
        </is>
      </c>
      <c r="N3631" t="inlineStr">
        <is>
          <t>Yes</t>
        </is>
      </c>
      <c r="O3631" t="inlineStr">
        <is>
          <t>Yes</t>
        </is>
      </c>
      <c r="P3631" t="inlineStr">
        <is>
          <t>Soundariya B</t>
        </is>
      </c>
      <c r="Q3631" t="inlineStr">
        <is>
          <t>Bad</t>
        </is>
      </c>
    </row>
    <row r="3632">
      <c r="A3632" t="inlineStr">
        <is>
          <t>vaibhav.v</t>
        </is>
      </c>
      <c r="B3632" t="inlineStr">
        <is>
          <t>Vaibhav Varun</t>
        </is>
      </c>
      <c r="C3632" t="inlineStr">
        <is>
          <t>vaibhav.v@osmosys.co</t>
        </is>
      </c>
      <c r="D3632" t="inlineStr">
        <is>
          <t>incident-reporter</t>
        </is>
      </c>
      <c r="E3632">
        <f>HYPERLINK("http://gitlab.osmosys.co/incident-reporter/incident-reporter-app", "OQSHA Mobile App")</f>
        <v/>
      </c>
      <c r="F3632">
        <f>HYPERLINK("http://gitlab.osmosys.co/incident-reporter/incident-reporter-app/-/merge_requests/1789", "feat: add training filter")</f>
        <v/>
      </c>
      <c r="G3632" t="inlineStr">
        <is>
          <t>feat/training-filter</t>
        </is>
      </c>
      <c r="H3632" t="inlineStr">
        <is>
          <t>sprint-17</t>
        </is>
      </c>
      <c r="I3632" t="inlineStr">
        <is>
          <t>merged</t>
        </is>
      </c>
      <c r="J3632" t="inlineStr">
        <is>
          <t>b4a667c73146623361ffc15adfe828581269eec4</t>
        </is>
      </c>
      <c r="K3632">
        <f>HYPERLINK("http://gitlab.osmosys.co/incident-reporter/incident-reporter-app/-/merge_requests/1789#note_238209", "Here its necessary, removed anything if not requried.")</f>
        <v/>
      </c>
      <c r="L3632" t="inlineStr">
        <is>
          <t>2025-07-17 12:47:40.001 IST</t>
        </is>
      </c>
      <c r="M3632" t="inlineStr">
        <is>
          <t>Vaibhav Varun</t>
        </is>
      </c>
      <c r="N3632" t="inlineStr">
        <is>
          <t>No</t>
        </is>
      </c>
      <c r="O3632" t="inlineStr">
        <is>
          <t>Yes</t>
        </is>
      </c>
      <c r="P3632" t="inlineStr">
        <is>
          <t>Soundariya B</t>
        </is>
      </c>
      <c r="Q3632" t="inlineStr">
        <is>
          <t>Bad</t>
        </is>
      </c>
    </row>
    <row r="3633">
      <c r="A3633" t="inlineStr">
        <is>
          <t>vaibhav.v</t>
        </is>
      </c>
      <c r="B3633" t="inlineStr">
        <is>
          <t>Vaibhav Varun</t>
        </is>
      </c>
      <c r="C3633" t="inlineStr">
        <is>
          <t>vaibhav.v@osmosys.co</t>
        </is>
      </c>
      <c r="D3633" t="inlineStr">
        <is>
          <t>incident-reporter</t>
        </is>
      </c>
      <c r="E3633">
        <f>HYPERLINK("http://gitlab.osmosys.co/incident-reporter/incident-reporter-app", "OQSHA Mobile App")</f>
        <v/>
      </c>
      <c r="F3633">
        <f>HYPERLINK("http://gitlab.osmosys.co/incident-reporter/incident-reporter-app/-/merge_requests/1789", "feat: add training filter")</f>
        <v/>
      </c>
      <c r="G3633" t="inlineStr">
        <is>
          <t>feat/training-filter</t>
        </is>
      </c>
      <c r="H3633" t="inlineStr">
        <is>
          <t>sprint-17</t>
        </is>
      </c>
      <c r="I3633" t="inlineStr">
        <is>
          <t>merged</t>
        </is>
      </c>
      <c r="J3633" t="inlineStr">
        <is>
          <t>b4a667c73146623361ffc15adfe828581269eec4</t>
        </is>
      </c>
      <c r="K3633">
        <f>HYPERLINK("http://gitlab.osmosys.co/incident-reporter/incident-reporter-app/-/merge_requests/1789#note_238281", "Yes its required I know I didn't said to remove which are not required; instead I meant don't take unrelated component services.")</f>
        <v/>
      </c>
      <c r="L3633" t="inlineStr">
        <is>
          <t>2025-07-17 13:24:22.479 IST</t>
        </is>
      </c>
      <c r="M3633" t="inlineStr">
        <is>
          <t>Soundariya B</t>
        </is>
      </c>
      <c r="N3633" t="inlineStr">
        <is>
          <t>Yes</t>
        </is>
      </c>
      <c r="O3633" t="inlineStr">
        <is>
          <t>Yes</t>
        </is>
      </c>
      <c r="P3633" t="inlineStr">
        <is>
          <t>Soundariya B</t>
        </is>
      </c>
      <c r="Q3633" t="inlineStr">
        <is>
          <t>Bad</t>
        </is>
      </c>
    </row>
    <row r="3634">
      <c r="A3634" t="inlineStr">
        <is>
          <t>vaibhav.v</t>
        </is>
      </c>
      <c r="B3634" t="inlineStr">
        <is>
          <t>Vaibhav Varun</t>
        </is>
      </c>
      <c r="C3634" t="inlineStr">
        <is>
          <t>vaibhav.v@osmosys.co</t>
        </is>
      </c>
      <c r="D3634" t="inlineStr">
        <is>
          <t>incident-reporter</t>
        </is>
      </c>
      <c r="E3634">
        <f>HYPERLINK("http://gitlab.osmosys.co/incident-reporter/incident-reporter-app", "OQSHA Mobile App")</f>
        <v/>
      </c>
      <c r="F3634">
        <f>HYPERLINK("http://gitlab.osmosys.co/incident-reporter/incident-reporter-app/-/merge_requests/1789", "feat: add training filter")</f>
        <v/>
      </c>
      <c r="G3634" t="inlineStr">
        <is>
          <t>feat/training-filter</t>
        </is>
      </c>
      <c r="H3634" t="inlineStr">
        <is>
          <t>sprint-17</t>
        </is>
      </c>
      <c r="I3634" t="inlineStr">
        <is>
          <t>merged</t>
        </is>
      </c>
      <c r="J3634" t="inlineStr">
        <is>
          <t>b4a667c73146623361ffc15adfe828581269eec4</t>
        </is>
      </c>
      <c r="K3634">
        <f>HYPERLINK("http://gitlab.osmosys.co/incident-reporter/incident-reporter-app/-/merge_requests/1789#note_238287", "Yeah so I have removed it please close this comment")</f>
        <v/>
      </c>
      <c r="L3634" t="inlineStr">
        <is>
          <t>2025-07-17 13:41:27.502 IST</t>
        </is>
      </c>
      <c r="M3634" t="inlineStr">
        <is>
          <t>Vaibhav Varun</t>
        </is>
      </c>
      <c r="N3634" t="inlineStr">
        <is>
          <t>No</t>
        </is>
      </c>
      <c r="O3634" t="inlineStr">
        <is>
          <t>Yes</t>
        </is>
      </c>
      <c r="P3634" t="inlineStr">
        <is>
          <t>Soundariya B</t>
        </is>
      </c>
      <c r="Q3634" t="inlineStr">
        <is>
          <t>Bad</t>
        </is>
      </c>
    </row>
    <row r="3635">
      <c r="A3635" t="inlineStr">
        <is>
          <t>vaibhav.v</t>
        </is>
      </c>
      <c r="B3635" t="inlineStr">
        <is>
          <t>Vaibhav Varun</t>
        </is>
      </c>
      <c r="C3635" t="inlineStr">
        <is>
          <t>vaibhav.v@osmosys.co</t>
        </is>
      </c>
      <c r="D3635" t="inlineStr">
        <is>
          <t>incident-reporter</t>
        </is>
      </c>
      <c r="E3635">
        <f>HYPERLINK("http://gitlab.osmosys.co/incident-reporter/incident-reporter-app", "OQSHA Mobile App")</f>
        <v/>
      </c>
      <c r="F3635">
        <f>HYPERLINK("http://gitlab.osmosys.co/incident-reporter/incident-reporter-app/-/merge_requests/1789", "feat: add training filter")</f>
        <v/>
      </c>
      <c r="G3635" t="inlineStr">
        <is>
          <t>feat/training-filter</t>
        </is>
      </c>
      <c r="H3635" t="inlineStr">
        <is>
          <t>sprint-17</t>
        </is>
      </c>
      <c r="I3635" t="inlineStr">
        <is>
          <t>merged</t>
        </is>
      </c>
      <c r="J3635" t="inlineStr">
        <is>
          <t>c365b45e3e385d42f10e5445539d6cf7f236ba49</t>
        </is>
      </c>
      <c r="K3635">
        <f>HYPERLINK("http://gitlab.osmosys.co/incident-reporter/incident-reporter-app/-/merge_requests/1789#note_238127", "Why these all need here?")</f>
        <v/>
      </c>
      <c r="L3635" t="inlineStr">
        <is>
          <t>2025-07-17 12:12:01.199 IST</t>
        </is>
      </c>
      <c r="M3635" t="inlineStr">
        <is>
          <t>Soundariya B</t>
        </is>
      </c>
      <c r="N3635" t="inlineStr">
        <is>
          <t>Yes</t>
        </is>
      </c>
      <c r="O3635" t="inlineStr">
        <is>
          <t>Yes</t>
        </is>
      </c>
      <c r="P3635" t="inlineStr">
        <is>
          <t>Soundariya B</t>
        </is>
      </c>
      <c r="Q3635" t="inlineStr">
        <is>
          <t>Bad</t>
        </is>
      </c>
    </row>
    <row r="3636">
      <c r="A3636" t="inlineStr">
        <is>
          <t>vaibhav.v</t>
        </is>
      </c>
      <c r="B3636" t="inlineStr">
        <is>
          <t>Vaibhav Varun</t>
        </is>
      </c>
      <c r="C3636" t="inlineStr">
        <is>
          <t>vaibhav.v@osmosys.co</t>
        </is>
      </c>
      <c r="D3636" t="inlineStr">
        <is>
          <t>incident-reporter</t>
        </is>
      </c>
      <c r="E3636">
        <f>HYPERLINK("http://gitlab.osmosys.co/incident-reporter/incident-reporter-app", "OQSHA Mobile App")</f>
        <v/>
      </c>
      <c r="F3636">
        <f>HYPERLINK("http://gitlab.osmosys.co/incident-reporter/incident-reporter-app/-/merge_requests/1789", "feat: add training filter")</f>
        <v/>
      </c>
      <c r="G3636" t="inlineStr">
        <is>
          <t>feat/training-filter</t>
        </is>
      </c>
      <c r="H3636" t="inlineStr">
        <is>
          <t>sprint-17</t>
        </is>
      </c>
      <c r="I3636" t="inlineStr">
        <is>
          <t>merged</t>
        </is>
      </c>
      <c r="J3636" t="inlineStr">
        <is>
          <t>c365b45e3e385d42f10e5445539d6cf7f236ba49</t>
        </is>
      </c>
      <c r="K3636">
        <f>HYPERLINK("http://gitlab.osmosys.co/incident-reporter/incident-reporter-app/-/merge_requests/1789#note_238208", "Changed approach a little in a different way, getAllBatches will once gets called for page load and then for any form re-triggers")</f>
        <v/>
      </c>
      <c r="L3636" t="inlineStr">
        <is>
          <t>2025-07-17 12:46:08.655 IST</t>
        </is>
      </c>
      <c r="M3636" t="inlineStr">
        <is>
          <t>Vaibhav Varun</t>
        </is>
      </c>
      <c r="N3636" t="inlineStr">
        <is>
          <t>No</t>
        </is>
      </c>
      <c r="O3636" t="inlineStr">
        <is>
          <t>Yes</t>
        </is>
      </c>
      <c r="P3636" t="inlineStr">
        <is>
          <t>Soundariya B</t>
        </is>
      </c>
      <c r="Q3636" t="inlineStr">
        <is>
          <t>Bad</t>
        </is>
      </c>
    </row>
    <row r="3637">
      <c r="A3637" t="inlineStr">
        <is>
          <t>vaibhav.v</t>
        </is>
      </c>
      <c r="B3637" t="inlineStr">
        <is>
          <t>Vaibhav Varun</t>
        </is>
      </c>
      <c r="C3637" t="inlineStr">
        <is>
          <t>vaibhav.v@osmosys.co</t>
        </is>
      </c>
      <c r="D3637" t="inlineStr">
        <is>
          <t>incident-reporter</t>
        </is>
      </c>
      <c r="E3637">
        <f>HYPERLINK("http://gitlab.osmosys.co/incident-reporter/incident-reporter-app", "OQSHA Mobile App")</f>
        <v/>
      </c>
      <c r="F3637">
        <f>HYPERLINK("http://gitlab.osmosys.co/incident-reporter/incident-reporter-app/-/merge_requests/1789", "feat: add training filter")</f>
        <v/>
      </c>
      <c r="G3637" t="inlineStr">
        <is>
          <t>feat/training-filter</t>
        </is>
      </c>
      <c r="H3637" t="inlineStr">
        <is>
          <t>sprint-17</t>
        </is>
      </c>
      <c r="I3637" t="inlineStr">
        <is>
          <t>merged</t>
        </is>
      </c>
      <c r="J3637" t="inlineStr">
        <is>
          <t>1ce2de7b5de35e39f291a3a05b37081ec2eb181a</t>
        </is>
      </c>
      <c r="K3637">
        <f>HYPERLINK("http://gitlab.osmosys.co/incident-reporter/incident-reporter-app/-/merge_requests/1789#note_238128", "Give proper name which response or for what? responses is doesn't make sense")</f>
        <v/>
      </c>
      <c r="L3637" t="inlineStr">
        <is>
          <t>2025-07-17 12:12:01.257 IST</t>
        </is>
      </c>
      <c r="M3637" t="inlineStr">
        <is>
          <t>Soundariya B</t>
        </is>
      </c>
      <c r="N3637" t="inlineStr">
        <is>
          <t>Yes</t>
        </is>
      </c>
      <c r="O3637" t="inlineStr">
        <is>
          <t>Yes</t>
        </is>
      </c>
      <c r="P3637" t="inlineStr">
        <is>
          <t>Soundariya B</t>
        </is>
      </c>
      <c r="Q3637" t="inlineStr">
        <is>
          <t>Bad</t>
        </is>
      </c>
    </row>
    <row r="3638">
      <c r="A3638" t="inlineStr">
        <is>
          <t>vaibhav.v</t>
        </is>
      </c>
      <c r="B3638" t="inlineStr">
        <is>
          <t>Vaibhav Varun</t>
        </is>
      </c>
      <c r="C3638" t="inlineStr">
        <is>
          <t>vaibhav.v@osmosys.co</t>
        </is>
      </c>
      <c r="D3638" t="inlineStr">
        <is>
          <t>incident-reporter</t>
        </is>
      </c>
      <c r="E3638">
        <f>HYPERLINK("http://gitlab.osmosys.co/incident-reporter/incident-reporter-app", "OQSHA Mobile App")</f>
        <v/>
      </c>
      <c r="F3638">
        <f>HYPERLINK("http://gitlab.osmosys.co/incident-reporter/incident-reporter-app/-/merge_requests/1789", "feat: add training filter")</f>
        <v/>
      </c>
      <c r="G3638" t="inlineStr">
        <is>
          <t>feat/training-filter</t>
        </is>
      </c>
      <c r="H3638" t="inlineStr">
        <is>
          <t>sprint-17</t>
        </is>
      </c>
      <c r="I3638" t="inlineStr">
        <is>
          <t>merged</t>
        </is>
      </c>
      <c r="J3638" t="inlineStr">
        <is>
          <t>1ce2de7b5de35e39f291a3a05b37081ec2eb181a</t>
        </is>
      </c>
      <c r="K3638">
        <f>HYPERLINK("http://gitlab.osmosys.co/incident-reporter/incident-reporter-app/-/merge_requests/1789#note_238195", "Done")</f>
        <v/>
      </c>
      <c r="L3638" t="inlineStr">
        <is>
          <t>2025-07-17 12:40:48.746 IST</t>
        </is>
      </c>
      <c r="M3638" t="inlineStr">
        <is>
          <t>Vaibhav Varun</t>
        </is>
      </c>
      <c r="N3638" t="inlineStr">
        <is>
          <t>No</t>
        </is>
      </c>
      <c r="O3638" t="inlineStr">
        <is>
          <t>Yes</t>
        </is>
      </c>
      <c r="P3638" t="inlineStr">
        <is>
          <t>Soundariya B</t>
        </is>
      </c>
      <c r="Q3638" t="inlineStr">
        <is>
          <t>Bad</t>
        </is>
      </c>
    </row>
    <row r="3639">
      <c r="A3639" t="inlineStr">
        <is>
          <t>vaibhav.v</t>
        </is>
      </c>
      <c r="B3639" t="inlineStr">
        <is>
          <t>Vaibhav Varun</t>
        </is>
      </c>
      <c r="C3639" t="inlineStr">
        <is>
          <t>vaibhav.v@osmosys.co</t>
        </is>
      </c>
      <c r="D3639" t="inlineStr">
        <is>
          <t>incident-reporter</t>
        </is>
      </c>
      <c r="E3639">
        <f>HYPERLINK("http://gitlab.osmosys.co/incident-reporter/incident-reporter-app", "OQSHA Mobile App")</f>
        <v/>
      </c>
      <c r="F3639">
        <f>HYPERLINK("http://gitlab.osmosys.co/incident-reporter/incident-reporter-app/-/merge_requests/1789", "feat: add training filter")</f>
        <v/>
      </c>
      <c r="G3639" t="inlineStr">
        <is>
          <t>feat/training-filter</t>
        </is>
      </c>
      <c r="H3639" t="inlineStr">
        <is>
          <t>sprint-17</t>
        </is>
      </c>
      <c r="I3639" t="inlineStr">
        <is>
          <t>merged</t>
        </is>
      </c>
      <c r="J3639" t="inlineStr">
        <is>
          <t>5aad853392a1984d0c01e01c0bff0385fcc1729b</t>
        </is>
      </c>
      <c r="K3639">
        <f>HYPERLINK("http://gitlab.osmosys.co/incident-reporter/incident-reporter-app/-/merge_requests/1789#note_238129", "This can be done in else block instead else if")</f>
        <v/>
      </c>
      <c r="L3639" t="inlineStr">
        <is>
          <t>2025-07-17 12:12:01.310 IST</t>
        </is>
      </c>
      <c r="M3639" t="inlineStr">
        <is>
          <t>Soundariya B</t>
        </is>
      </c>
      <c r="N3639" t="inlineStr">
        <is>
          <t>Yes</t>
        </is>
      </c>
      <c r="O3639" t="inlineStr">
        <is>
          <t>Yes</t>
        </is>
      </c>
      <c r="P3639" t="inlineStr">
        <is>
          <t>Soundariya B</t>
        </is>
      </c>
      <c r="Q3639" t="inlineStr">
        <is>
          <t>Bad</t>
        </is>
      </c>
    </row>
    <row r="3640">
      <c r="A3640" t="inlineStr">
        <is>
          <t>vaibhav.v</t>
        </is>
      </c>
      <c r="B3640" t="inlineStr">
        <is>
          <t>Vaibhav Varun</t>
        </is>
      </c>
      <c r="C3640" t="inlineStr">
        <is>
          <t>vaibhav.v@osmosys.co</t>
        </is>
      </c>
      <c r="D3640" t="inlineStr">
        <is>
          <t>incident-reporter</t>
        </is>
      </c>
      <c r="E3640">
        <f>HYPERLINK("http://gitlab.osmosys.co/incident-reporter/incident-reporter-app", "OQSHA Mobile App")</f>
        <v/>
      </c>
      <c r="F3640">
        <f>HYPERLINK("http://gitlab.osmosys.co/incident-reporter/incident-reporter-app/-/merge_requests/1789", "feat: add training filter")</f>
        <v/>
      </c>
      <c r="G3640" t="inlineStr">
        <is>
          <t>feat/training-filter</t>
        </is>
      </c>
      <c r="H3640" t="inlineStr">
        <is>
          <t>sprint-17</t>
        </is>
      </c>
      <c r="I3640" t="inlineStr">
        <is>
          <t>merged</t>
        </is>
      </c>
      <c r="J3640" t="inlineStr">
        <is>
          <t>5aad853392a1984d0c01e01c0bff0385fcc1729b</t>
        </is>
      </c>
      <c r="K3640">
        <f>HYPERLINK("http://gitlab.osmosys.co/incident-reporter/incident-reporter-app/-/merge_requests/1789#note_238190", "Done")</f>
        <v/>
      </c>
      <c r="L3640" t="inlineStr">
        <is>
          <t>2025-07-17 12:40:01.131 IST</t>
        </is>
      </c>
      <c r="M3640" t="inlineStr">
        <is>
          <t>Vaibhav Varun</t>
        </is>
      </c>
      <c r="N3640" t="inlineStr">
        <is>
          <t>No</t>
        </is>
      </c>
      <c r="O3640" t="inlineStr">
        <is>
          <t>Yes</t>
        </is>
      </c>
      <c r="P3640" t="inlineStr">
        <is>
          <t>Soundariya B</t>
        </is>
      </c>
      <c r="Q3640" t="inlineStr">
        <is>
          <t>Bad</t>
        </is>
      </c>
    </row>
    <row r="3641">
      <c r="A3641" t="inlineStr">
        <is>
          <t>vaibhav.v</t>
        </is>
      </c>
      <c r="B3641" t="inlineStr">
        <is>
          <t>Vaibhav Varun</t>
        </is>
      </c>
      <c r="C3641" t="inlineStr">
        <is>
          <t>vaibhav.v@osmosys.co</t>
        </is>
      </c>
      <c r="D3641" t="inlineStr">
        <is>
          <t>incident-reporter</t>
        </is>
      </c>
      <c r="E3641">
        <f>HYPERLINK("http://gitlab.osmosys.co/incident-reporter/incident-reporter-app", "OQSHA Mobile App")</f>
        <v/>
      </c>
      <c r="F3641">
        <f>HYPERLINK("http://gitlab.osmosys.co/incident-reporter/incident-reporter-app/-/merge_requests/1789", "feat: add training filter")</f>
        <v/>
      </c>
      <c r="G3641" t="inlineStr">
        <is>
          <t>feat/training-filter</t>
        </is>
      </c>
      <c r="H3641" t="inlineStr">
        <is>
          <t>sprint-17</t>
        </is>
      </c>
      <c r="I3641" t="inlineStr">
        <is>
          <t>merged</t>
        </is>
      </c>
      <c r="J3641" t="inlineStr">
        <is>
          <t>661a50f87c990eeab7802309d1b7e8963cd42ea7</t>
        </is>
      </c>
      <c r="K3641">
        <f>HYPERLINK("http://gitlab.osmosys.co/incident-reporter/incident-reporter-app/-/merge_requests/1789#note_238130", "This block can be done in else block
and this should be there - **this**.userOrganisation **=** \[\];")</f>
        <v/>
      </c>
      <c r="L3641" t="inlineStr">
        <is>
          <t>2025-07-17 12:12:01.364 IST</t>
        </is>
      </c>
      <c r="M3641" t="inlineStr">
        <is>
          <t>Soundariya B</t>
        </is>
      </c>
      <c r="N3641" t="inlineStr">
        <is>
          <t>Yes</t>
        </is>
      </c>
      <c r="O3641" t="inlineStr">
        <is>
          <t>Yes</t>
        </is>
      </c>
      <c r="P3641" t="inlineStr">
        <is>
          <t>Soundariya B</t>
        </is>
      </c>
      <c r="Q3641" t="inlineStr">
        <is>
          <t>Bad</t>
        </is>
      </c>
    </row>
    <row r="3642">
      <c r="A3642" t="inlineStr">
        <is>
          <t>vaibhav.v</t>
        </is>
      </c>
      <c r="B3642" t="inlineStr">
        <is>
          <t>Vaibhav Varun</t>
        </is>
      </c>
      <c r="C3642" t="inlineStr">
        <is>
          <t>vaibhav.v@osmosys.co</t>
        </is>
      </c>
      <c r="D3642" t="inlineStr">
        <is>
          <t>incident-reporter</t>
        </is>
      </c>
      <c r="E3642">
        <f>HYPERLINK("http://gitlab.osmosys.co/incident-reporter/incident-reporter-app", "OQSHA Mobile App")</f>
        <v/>
      </c>
      <c r="F3642">
        <f>HYPERLINK("http://gitlab.osmosys.co/incident-reporter/incident-reporter-app/-/merge_requests/1789", "feat: add training filter")</f>
        <v/>
      </c>
      <c r="G3642" t="inlineStr">
        <is>
          <t>feat/training-filter</t>
        </is>
      </c>
      <c r="H3642" t="inlineStr">
        <is>
          <t>sprint-17</t>
        </is>
      </c>
      <c r="I3642" t="inlineStr">
        <is>
          <t>merged</t>
        </is>
      </c>
      <c r="J3642" t="inlineStr">
        <is>
          <t>661a50f87c990eeab7802309d1b7e8963cd42ea7</t>
        </is>
      </c>
      <c r="K3642">
        <f>HYPERLINK("http://gitlab.osmosys.co/incident-reporter/incident-reporter-app/-/merge_requests/1789#note_238189", "Done")</f>
        <v/>
      </c>
      <c r="L3642" t="inlineStr">
        <is>
          <t>2025-07-17 12:39:32.282 IST</t>
        </is>
      </c>
      <c r="M3642" t="inlineStr">
        <is>
          <t>Vaibhav Varun</t>
        </is>
      </c>
      <c r="N3642" t="inlineStr">
        <is>
          <t>No</t>
        </is>
      </c>
      <c r="O3642" t="inlineStr">
        <is>
          <t>Yes</t>
        </is>
      </c>
      <c r="P3642" t="inlineStr">
        <is>
          <t>Soundariya B</t>
        </is>
      </c>
      <c r="Q3642" t="inlineStr">
        <is>
          <t>Bad</t>
        </is>
      </c>
    </row>
    <row r="3643">
      <c r="A3643" t="inlineStr">
        <is>
          <t>vaibhav.v</t>
        </is>
      </c>
      <c r="B3643" t="inlineStr">
        <is>
          <t>Vaibhav Varun</t>
        </is>
      </c>
      <c r="C3643" t="inlineStr">
        <is>
          <t>vaibhav.v@osmosys.co</t>
        </is>
      </c>
      <c r="D3643" t="inlineStr">
        <is>
          <t>incident-reporter</t>
        </is>
      </c>
      <c r="E3643">
        <f>HYPERLINK("http://gitlab.osmosys.co/incident-reporter/incident-reporter-app", "OQSHA Mobile App")</f>
        <v/>
      </c>
      <c r="F3643">
        <f>HYPERLINK("http://gitlab.osmosys.co/incident-reporter/incident-reporter-app/-/merge_requests/1789", "feat: add training filter")</f>
        <v/>
      </c>
      <c r="G3643" t="inlineStr">
        <is>
          <t>feat/training-filter</t>
        </is>
      </c>
      <c r="H3643" t="inlineStr">
        <is>
          <t>sprint-17</t>
        </is>
      </c>
      <c r="I3643" t="inlineStr">
        <is>
          <t>merged</t>
        </is>
      </c>
      <c r="J3643" t="inlineStr">
        <is>
          <t>3896c544ceda48a2443a1d80a19a95a35d01613f</t>
        </is>
      </c>
      <c r="K3643">
        <f>HYPERLINK("http://gitlab.osmosys.co/incident-reporter/incident-reporter-app/-/merge_requests/1789#note_238131", "Here toast error message is missing")</f>
        <v/>
      </c>
      <c r="L3643" t="inlineStr">
        <is>
          <t>2025-07-17 12:12:01.420 IST</t>
        </is>
      </c>
      <c r="M3643" t="inlineStr">
        <is>
          <t>Soundariya B</t>
        </is>
      </c>
      <c r="N3643" t="inlineStr">
        <is>
          <t>Yes</t>
        </is>
      </c>
      <c r="O3643" t="inlineStr">
        <is>
          <t>Yes</t>
        </is>
      </c>
      <c r="P3643" t="inlineStr">
        <is>
          <t>Soundariya B</t>
        </is>
      </c>
      <c r="Q3643" t="inlineStr">
        <is>
          <t>Bad</t>
        </is>
      </c>
    </row>
    <row r="3644">
      <c r="A3644" t="inlineStr">
        <is>
          <t>vaibhav.v</t>
        </is>
      </c>
      <c r="B3644" t="inlineStr">
        <is>
          <t>Vaibhav Varun</t>
        </is>
      </c>
      <c r="C3644" t="inlineStr">
        <is>
          <t>vaibhav.v@osmosys.co</t>
        </is>
      </c>
      <c r="D3644" t="inlineStr">
        <is>
          <t>incident-reporter</t>
        </is>
      </c>
      <c r="E3644">
        <f>HYPERLINK("http://gitlab.osmosys.co/incident-reporter/incident-reporter-app", "OQSHA Mobile App")</f>
        <v/>
      </c>
      <c r="F3644">
        <f>HYPERLINK("http://gitlab.osmosys.co/incident-reporter/incident-reporter-app/-/merge_requests/1789", "feat: add training filter")</f>
        <v/>
      </c>
      <c r="G3644" t="inlineStr">
        <is>
          <t>feat/training-filter</t>
        </is>
      </c>
      <c r="H3644" t="inlineStr">
        <is>
          <t>sprint-17</t>
        </is>
      </c>
      <c r="I3644" t="inlineStr">
        <is>
          <t>merged</t>
        </is>
      </c>
      <c r="J3644" t="inlineStr">
        <is>
          <t>3896c544ceda48a2443a1d80a19a95a35d01613f</t>
        </is>
      </c>
      <c r="K3644">
        <f>HYPERLINK("http://gitlab.osmosys.co/incident-reporter/incident-reporter-app/-/merge_requests/1789#note_238184", "Done")</f>
        <v/>
      </c>
      <c r="L3644" t="inlineStr">
        <is>
          <t>2025-07-17 12:38:23.797 IST</t>
        </is>
      </c>
      <c r="M3644" t="inlineStr">
        <is>
          <t>Vaibhav Varun</t>
        </is>
      </c>
      <c r="N3644" t="inlineStr">
        <is>
          <t>No</t>
        </is>
      </c>
      <c r="O3644" t="inlineStr">
        <is>
          <t>Yes</t>
        </is>
      </c>
      <c r="P3644" t="inlineStr">
        <is>
          <t>Soundariya B</t>
        </is>
      </c>
      <c r="Q3644" t="inlineStr">
        <is>
          <t>Bad</t>
        </is>
      </c>
    </row>
    <row r="3645">
      <c r="A3645" t="inlineStr">
        <is>
          <t>vaibhav.v</t>
        </is>
      </c>
      <c r="B3645" t="inlineStr">
        <is>
          <t>Vaibhav Varun</t>
        </is>
      </c>
      <c r="C3645" t="inlineStr">
        <is>
          <t>vaibhav.v@osmosys.co</t>
        </is>
      </c>
      <c r="D3645" t="inlineStr">
        <is>
          <t>incident-reporter</t>
        </is>
      </c>
      <c r="E3645">
        <f>HYPERLINK("http://gitlab.osmosys.co/incident-reporter/incident-reporter-app", "OQSHA Mobile App")</f>
        <v/>
      </c>
      <c r="F3645">
        <f>HYPERLINK("http://gitlab.osmosys.co/incident-reporter/incident-reporter-app/-/merge_requests/1788", "fix: fix task payload")</f>
        <v/>
      </c>
      <c r="G3645" t="inlineStr">
        <is>
          <t>fix/fix-task</t>
        </is>
      </c>
      <c r="H3645" t="inlineStr">
        <is>
          <t>sprint-17</t>
        </is>
      </c>
      <c r="I3645" t="inlineStr">
        <is>
          <t>merged</t>
        </is>
      </c>
      <c r="J3645" t="inlineStr"/>
      <c r="K3645" t="inlineStr"/>
      <c r="L3645" t="inlineStr"/>
      <c r="M3645" t="inlineStr"/>
      <c r="N3645" t="inlineStr"/>
      <c r="O3645" t="inlineStr"/>
      <c r="P3645" t="inlineStr"/>
      <c r="Q3645" t="inlineStr"/>
    </row>
    <row r="3646">
      <c r="A3646" t="inlineStr">
        <is>
          <t>vaibhav.v</t>
        </is>
      </c>
      <c r="B3646" t="inlineStr">
        <is>
          <t>Vaibhav Varun</t>
        </is>
      </c>
      <c r="C3646" t="inlineStr">
        <is>
          <t>vaibhav.v@osmosys.co</t>
        </is>
      </c>
      <c r="D3646" t="inlineStr">
        <is>
          <t>incident-reporter</t>
        </is>
      </c>
      <c r="E3646">
        <f>HYPERLINK("http://gitlab.osmosys.co/incident-reporter/incident-reporter-app", "OQSHA Mobile App")</f>
        <v/>
      </c>
      <c r="F3646">
        <f>HYPERLINK("http://gitlab.osmosys.co/incident-reporter/incident-reporter-app/-/merge_requests/1782", "fix: fix department visibility")</f>
        <v/>
      </c>
      <c r="G3646" t="inlineStr">
        <is>
          <t>fix/fix-department</t>
        </is>
      </c>
      <c r="H3646" t="inlineStr">
        <is>
          <t>sprint-17</t>
        </is>
      </c>
      <c r="I3646" t="inlineStr">
        <is>
          <t>merged</t>
        </is>
      </c>
      <c r="J3646" t="inlineStr">
        <is>
          <t>7feebc051b26880ff9bded247ebccf40f94c1981</t>
        </is>
      </c>
      <c r="K3646">
        <f>HYPERLINK("http://gitlab.osmosys.co/incident-reporter/incident-reporter-app/-/merge_requests/1782#note_237610", "Can you take this from the common helper file instead of defining in every file?
And remove it from everywhere")</f>
        <v/>
      </c>
      <c r="L3646" t="inlineStr">
        <is>
          <t>2025-07-16 15:32:24.450 IST</t>
        </is>
      </c>
      <c r="M3646" t="inlineStr">
        <is>
          <t>Soundariya B</t>
        </is>
      </c>
      <c r="N3646" t="inlineStr">
        <is>
          <t>Yes</t>
        </is>
      </c>
      <c r="O3646" t="inlineStr">
        <is>
          <t>Yes</t>
        </is>
      </c>
      <c r="P3646" t="inlineStr">
        <is>
          <t>Soundariya B</t>
        </is>
      </c>
      <c r="Q3646" t="inlineStr">
        <is>
          <t>Bad</t>
        </is>
      </c>
    </row>
    <row r="3647">
      <c r="A3647" t="inlineStr">
        <is>
          <t>vaibhav.v</t>
        </is>
      </c>
      <c r="B3647" t="inlineStr">
        <is>
          <t>Vaibhav Varun</t>
        </is>
      </c>
      <c r="C3647" t="inlineStr">
        <is>
          <t>vaibhav.v@osmosys.co</t>
        </is>
      </c>
      <c r="D3647" t="inlineStr">
        <is>
          <t>incident-reporter</t>
        </is>
      </c>
      <c r="E3647">
        <f>HYPERLINK("http://gitlab.osmosys.co/incident-reporter/incident-reporter-app", "OQSHA Mobile App")</f>
        <v/>
      </c>
      <c r="F3647">
        <f>HYPERLINK("http://gitlab.osmosys.co/incident-reporter/incident-reporter-app/-/merge_requests/1782", "fix: fix department visibility")</f>
        <v/>
      </c>
      <c r="G3647" t="inlineStr">
        <is>
          <t>fix/fix-department</t>
        </is>
      </c>
      <c r="H3647" t="inlineStr">
        <is>
          <t>sprint-17</t>
        </is>
      </c>
      <c r="I3647" t="inlineStr">
        <is>
          <t>merged</t>
        </is>
      </c>
      <c r="J3647" t="inlineStr">
        <is>
          <t>7feebc051b26880ff9bded247ebccf40f94c1981</t>
        </is>
      </c>
      <c r="K3647">
        <f>HYPERLINK("http://gitlab.osmosys.co/incident-reporter/incident-reporter-app/-/merge_requests/1782#note_237730", "I raised new threads where missed to remove after reused.")</f>
        <v/>
      </c>
      <c r="L3647" t="inlineStr">
        <is>
          <t>2025-07-16 17:08:06.837 IST</t>
        </is>
      </c>
      <c r="M3647" t="inlineStr">
        <is>
          <t>Soundariya B</t>
        </is>
      </c>
      <c r="N3647" t="inlineStr">
        <is>
          <t>Yes</t>
        </is>
      </c>
      <c r="O3647" t="inlineStr">
        <is>
          <t>Yes</t>
        </is>
      </c>
      <c r="P3647" t="inlineStr">
        <is>
          <t>Soundariya B</t>
        </is>
      </c>
      <c r="Q3647" t="inlineStr">
        <is>
          <t>Bad</t>
        </is>
      </c>
    </row>
    <row r="3648">
      <c r="A3648" t="inlineStr">
        <is>
          <t>vaibhav.v</t>
        </is>
      </c>
      <c r="B3648" t="inlineStr">
        <is>
          <t>Vaibhav Varun</t>
        </is>
      </c>
      <c r="C3648" t="inlineStr">
        <is>
          <t>vaibhav.v@osmosys.co</t>
        </is>
      </c>
      <c r="D3648" t="inlineStr">
        <is>
          <t>incident-reporter</t>
        </is>
      </c>
      <c r="E3648">
        <f>HYPERLINK("http://gitlab.osmosys.co/incident-reporter/incident-reporter-app", "OQSHA Mobile App")</f>
        <v/>
      </c>
      <c r="F3648">
        <f>HYPERLINK("http://gitlab.osmosys.co/incident-reporter/incident-reporter-app/-/merge_requests/1782", "fix: fix department visibility")</f>
        <v/>
      </c>
      <c r="G3648" t="inlineStr">
        <is>
          <t>fix/fix-department</t>
        </is>
      </c>
      <c r="H3648" t="inlineStr">
        <is>
          <t>sprint-17</t>
        </is>
      </c>
      <c r="I3648" t="inlineStr">
        <is>
          <t>merged</t>
        </is>
      </c>
      <c r="J3648" t="inlineStr">
        <is>
          <t>7feebc051b26880ff9bded247ebccf40f94c1981</t>
        </is>
      </c>
      <c r="K3648">
        <f>HYPERLINK("http://gitlab.osmosys.co/incident-reporter/incident-reporter-app/-/merge_requests/1782#note_237774", "Removed")</f>
        <v/>
      </c>
      <c r="L3648" t="inlineStr">
        <is>
          <t>2025-07-16 17:41:32.425 IST</t>
        </is>
      </c>
      <c r="M3648" t="inlineStr">
        <is>
          <t>Vaibhav Varun</t>
        </is>
      </c>
      <c r="N3648" t="inlineStr">
        <is>
          <t>No</t>
        </is>
      </c>
      <c r="O3648" t="inlineStr">
        <is>
          <t>Yes</t>
        </is>
      </c>
      <c r="P3648" t="inlineStr">
        <is>
          <t>Soundariya B</t>
        </is>
      </c>
      <c r="Q3648" t="inlineStr">
        <is>
          <t>Bad</t>
        </is>
      </c>
    </row>
    <row r="3649">
      <c r="A3649" t="inlineStr">
        <is>
          <t>vaibhav.v</t>
        </is>
      </c>
      <c r="B3649" t="inlineStr">
        <is>
          <t>Vaibhav Varun</t>
        </is>
      </c>
      <c r="C3649" t="inlineStr">
        <is>
          <t>vaibhav.v@osmosys.co</t>
        </is>
      </c>
      <c r="D3649" t="inlineStr">
        <is>
          <t>incident-reporter</t>
        </is>
      </c>
      <c r="E3649">
        <f>HYPERLINK("http://gitlab.osmosys.co/incident-reporter/incident-reporter-app", "OQSHA Mobile App")</f>
        <v/>
      </c>
      <c r="F3649">
        <f>HYPERLINK("http://gitlab.osmosys.co/incident-reporter/incident-reporter-app/-/merge_requests/1782", "fix: fix department visibility")</f>
        <v/>
      </c>
      <c r="G3649" t="inlineStr">
        <is>
          <t>fix/fix-department</t>
        </is>
      </c>
      <c r="H3649" t="inlineStr">
        <is>
          <t>sprint-17</t>
        </is>
      </c>
      <c r="I3649" t="inlineStr">
        <is>
          <t>merged</t>
        </is>
      </c>
      <c r="J3649" t="inlineStr">
        <is>
          <t>96a79dc89557381ff3dddfef4cfaed1bceca874d</t>
        </is>
      </c>
      <c r="K3649">
        <f>HYPERLINK("http://gitlab.osmosys.co/incident-reporter/incident-reporter-app/-/merge_requests/1782#note_237611", "Can you take this from the common helper file instead of defining it in every file and at every places ?
And remove it from everywhere")</f>
        <v/>
      </c>
      <c r="L3649" t="inlineStr">
        <is>
          <t>2025-07-16 15:32:24.513 IST</t>
        </is>
      </c>
      <c r="M3649" t="inlineStr">
        <is>
          <t>Soundariya B</t>
        </is>
      </c>
      <c r="N3649" t="inlineStr">
        <is>
          <t>Yes</t>
        </is>
      </c>
      <c r="O3649" t="inlineStr">
        <is>
          <t>Yes</t>
        </is>
      </c>
      <c r="P3649" t="inlineStr">
        <is>
          <t>Soundariya B</t>
        </is>
      </c>
      <c r="Q3649" t="inlineStr">
        <is>
          <t>Bad</t>
        </is>
      </c>
    </row>
    <row r="3650">
      <c r="A3650" t="inlineStr">
        <is>
          <t>vaibhav.v</t>
        </is>
      </c>
      <c r="B3650" t="inlineStr">
        <is>
          <t>Vaibhav Varun</t>
        </is>
      </c>
      <c r="C3650" t="inlineStr">
        <is>
          <t>vaibhav.v@osmosys.co</t>
        </is>
      </c>
      <c r="D3650" t="inlineStr">
        <is>
          <t>incident-reporter</t>
        </is>
      </c>
      <c r="E3650">
        <f>HYPERLINK("http://gitlab.osmosys.co/incident-reporter/incident-reporter-app", "OQSHA Mobile App")</f>
        <v/>
      </c>
      <c r="F3650">
        <f>HYPERLINK("http://gitlab.osmosys.co/incident-reporter/incident-reporter-app/-/merge_requests/1782", "fix: fix department visibility")</f>
        <v/>
      </c>
      <c r="G3650" t="inlineStr">
        <is>
          <t>fix/fix-department</t>
        </is>
      </c>
      <c r="H3650" t="inlineStr">
        <is>
          <t>sprint-17</t>
        </is>
      </c>
      <c r="I3650" t="inlineStr">
        <is>
          <t>merged</t>
        </is>
      </c>
      <c r="J3650" t="inlineStr">
        <is>
          <t>96a79dc89557381ff3dddfef4cfaed1bceca874d</t>
        </is>
      </c>
      <c r="K3650">
        <f>HYPERLINK("http://gitlab.osmosys.co/incident-reporter/incident-reporter-app/-/merge_requests/1782#note_237700", "Done from wherever possible I removed and created a separate function.")</f>
        <v/>
      </c>
      <c r="L3650" t="inlineStr">
        <is>
          <t>2025-07-16 16:51:30.771 IST</t>
        </is>
      </c>
      <c r="M3650" t="inlineStr">
        <is>
          <t>Vaibhav Varun</t>
        </is>
      </c>
      <c r="N3650" t="inlineStr">
        <is>
          <t>No</t>
        </is>
      </c>
      <c r="O3650" t="inlineStr">
        <is>
          <t>Yes</t>
        </is>
      </c>
      <c r="P3650" t="inlineStr">
        <is>
          <t>Soundariya B</t>
        </is>
      </c>
      <c r="Q3650" t="inlineStr">
        <is>
          <t>Bad</t>
        </is>
      </c>
    </row>
    <row r="3651">
      <c r="A3651" t="inlineStr">
        <is>
          <t>vaibhav.v</t>
        </is>
      </c>
      <c r="B3651" t="inlineStr">
        <is>
          <t>Vaibhav Varun</t>
        </is>
      </c>
      <c r="C3651" t="inlineStr">
        <is>
          <t>vaibhav.v@osmosys.co</t>
        </is>
      </c>
      <c r="D3651" t="inlineStr">
        <is>
          <t>incident-reporter</t>
        </is>
      </c>
      <c r="E3651">
        <f>HYPERLINK("http://gitlab.osmosys.co/incident-reporter/incident-reporter-app", "OQSHA Mobile App")</f>
        <v/>
      </c>
      <c r="F3651">
        <f>HYPERLINK("http://gitlab.osmosys.co/incident-reporter/incident-reporter-app/-/merge_requests/1782", "fix: fix department visibility")</f>
        <v/>
      </c>
      <c r="G3651" t="inlineStr">
        <is>
          <t>fix/fix-department</t>
        </is>
      </c>
      <c r="H3651" t="inlineStr">
        <is>
          <t>sprint-17</t>
        </is>
      </c>
      <c r="I3651" t="inlineStr">
        <is>
          <t>merged</t>
        </is>
      </c>
      <c r="J3651" t="inlineStr">
        <is>
          <t>96a79dc89557381ff3dddfef4cfaed1bceca874d</t>
        </is>
      </c>
      <c r="K3651">
        <f>HYPERLINK("http://gitlab.osmosys.co/incident-reporter/incident-reporter-app/-/merge_requests/1782#note_237736", "Why are you using ptwService in the other non-related component? Can't you define this in helper ts file or shared or common service file and then use it?
Please fix it everywhere. Despite I already mention to define in some common place")</f>
        <v/>
      </c>
      <c r="L3651" t="inlineStr">
        <is>
          <t>2025-07-16 17:12:27.169 IST</t>
        </is>
      </c>
      <c r="M3651" t="inlineStr">
        <is>
          <t>Soundariya B</t>
        </is>
      </c>
      <c r="N3651" t="inlineStr">
        <is>
          <t>Yes</t>
        </is>
      </c>
      <c r="O3651" t="inlineStr">
        <is>
          <t>Yes</t>
        </is>
      </c>
      <c r="P3651" t="inlineStr">
        <is>
          <t>Soundariya B</t>
        </is>
      </c>
      <c r="Q3651" t="inlineStr">
        <is>
          <t>Bad</t>
        </is>
      </c>
    </row>
    <row r="3652">
      <c r="A3652" t="inlineStr">
        <is>
          <t>vaibhav.v</t>
        </is>
      </c>
      <c r="B3652" t="inlineStr">
        <is>
          <t>Vaibhav Varun</t>
        </is>
      </c>
      <c r="C3652" t="inlineStr">
        <is>
          <t>vaibhav.v@osmosys.co</t>
        </is>
      </c>
      <c r="D3652" t="inlineStr">
        <is>
          <t>incident-reporter</t>
        </is>
      </c>
      <c r="E3652">
        <f>HYPERLINK("http://gitlab.osmosys.co/incident-reporter/incident-reporter-app", "OQSHA Mobile App")</f>
        <v/>
      </c>
      <c r="F3652">
        <f>HYPERLINK("http://gitlab.osmosys.co/incident-reporter/incident-reporter-app/-/merge_requests/1782", "fix: fix department visibility")</f>
        <v/>
      </c>
      <c r="G3652" t="inlineStr">
        <is>
          <t>fix/fix-department</t>
        </is>
      </c>
      <c r="H3652" t="inlineStr">
        <is>
          <t>sprint-17</t>
        </is>
      </c>
      <c r="I3652" t="inlineStr">
        <is>
          <t>merged</t>
        </is>
      </c>
      <c r="J3652" t="inlineStr">
        <is>
          <t>96a79dc89557381ff3dddfef4cfaed1bceca874d</t>
        </is>
      </c>
      <c r="K3652">
        <f>HYPERLINK("http://gitlab.osmosys.co/incident-reporter/incident-reporter-app/-/merge_requests/1782#note_237764", "Done")</f>
        <v/>
      </c>
      <c r="L3652" t="inlineStr">
        <is>
          <t>2025-07-16 17:40:32.512 IST</t>
        </is>
      </c>
      <c r="M3652" t="inlineStr">
        <is>
          <t>Vaibhav Varun</t>
        </is>
      </c>
      <c r="N3652" t="inlineStr">
        <is>
          <t>No</t>
        </is>
      </c>
      <c r="O3652" t="inlineStr">
        <is>
          <t>Yes</t>
        </is>
      </c>
      <c r="P3652" t="inlineStr">
        <is>
          <t>Soundariya B</t>
        </is>
      </c>
      <c r="Q3652" t="inlineStr">
        <is>
          <t>Bad</t>
        </is>
      </c>
    </row>
    <row r="3653">
      <c r="A3653" t="inlineStr">
        <is>
          <t>vaibhav.v</t>
        </is>
      </c>
      <c r="B3653" t="inlineStr">
        <is>
          <t>Vaibhav Varun</t>
        </is>
      </c>
      <c r="C3653" t="inlineStr">
        <is>
          <t>vaibhav.v@osmosys.co</t>
        </is>
      </c>
      <c r="D3653" t="inlineStr">
        <is>
          <t>incident-reporter</t>
        </is>
      </c>
      <c r="E3653">
        <f>HYPERLINK("http://gitlab.osmosys.co/incident-reporter/incident-reporter-app", "OQSHA Mobile App")</f>
        <v/>
      </c>
      <c r="F3653">
        <f>HYPERLINK("http://gitlab.osmosys.co/incident-reporter/incident-reporter-app/-/merge_requests/1782", "fix: fix department visibility")</f>
        <v/>
      </c>
      <c r="G3653" t="inlineStr">
        <is>
          <t>fix/fix-department</t>
        </is>
      </c>
      <c r="H3653" t="inlineStr">
        <is>
          <t>sprint-17</t>
        </is>
      </c>
      <c r="I3653" t="inlineStr">
        <is>
          <t>merged</t>
        </is>
      </c>
      <c r="J3653" t="inlineStr">
        <is>
          <t>d2ca38628587db80d8896ac5611a4a4985725097</t>
        </is>
      </c>
      <c r="K3653">
        <f>HYPERLINK("http://gitlab.osmosys.co/incident-reporter/incident-reporter-app/-/merge_requests/1782#note_237731", "Here its missed to remove")</f>
        <v/>
      </c>
      <c r="L3653" t="inlineStr">
        <is>
          <t>2025-07-16 17:11:35.144 IST</t>
        </is>
      </c>
      <c r="M3653" t="inlineStr">
        <is>
          <t>Soundariya B</t>
        </is>
      </c>
      <c r="N3653" t="inlineStr">
        <is>
          <t>Yes</t>
        </is>
      </c>
      <c r="O3653" t="inlineStr">
        <is>
          <t>Yes</t>
        </is>
      </c>
      <c r="P3653" t="inlineStr">
        <is>
          <t>Soundariya B</t>
        </is>
      </c>
      <c r="Q3653" t="inlineStr">
        <is>
          <t>Bad</t>
        </is>
      </c>
    </row>
    <row r="3654">
      <c r="A3654" t="inlineStr">
        <is>
          <t>vaibhav.v</t>
        </is>
      </c>
      <c r="B3654" t="inlineStr">
        <is>
          <t>Vaibhav Varun</t>
        </is>
      </c>
      <c r="C3654" t="inlineStr">
        <is>
          <t>vaibhav.v@osmosys.co</t>
        </is>
      </c>
      <c r="D3654" t="inlineStr">
        <is>
          <t>incident-reporter</t>
        </is>
      </c>
      <c r="E3654">
        <f>HYPERLINK("http://gitlab.osmosys.co/incident-reporter/incident-reporter-app", "OQSHA Mobile App")</f>
        <v/>
      </c>
      <c r="F3654">
        <f>HYPERLINK("http://gitlab.osmosys.co/incident-reporter/incident-reporter-app/-/merge_requests/1782", "fix: fix department visibility")</f>
        <v/>
      </c>
      <c r="G3654" t="inlineStr">
        <is>
          <t>fix/fix-department</t>
        </is>
      </c>
      <c r="H3654" t="inlineStr">
        <is>
          <t>sprint-17</t>
        </is>
      </c>
      <c r="I3654" t="inlineStr">
        <is>
          <t>merged</t>
        </is>
      </c>
      <c r="J3654" t="inlineStr">
        <is>
          <t>d2ca38628587db80d8896ac5611a4a4985725097</t>
        </is>
      </c>
      <c r="K3654">
        <f>HYPERLINK("http://gitlab.osmosys.co/incident-reporter/incident-reporter-app/-/merge_requests/1782#note_237763", "Done")</f>
        <v/>
      </c>
      <c r="L3654" t="inlineStr">
        <is>
          <t>2025-07-16 17:40:27.921 IST</t>
        </is>
      </c>
      <c r="M3654" t="inlineStr">
        <is>
          <t>Vaibhav Varun</t>
        </is>
      </c>
      <c r="N3654" t="inlineStr">
        <is>
          <t>No</t>
        </is>
      </c>
      <c r="O3654" t="inlineStr">
        <is>
          <t>Yes</t>
        </is>
      </c>
      <c r="P3654" t="inlineStr">
        <is>
          <t>Soundariya B</t>
        </is>
      </c>
      <c r="Q3654" t="inlineStr">
        <is>
          <t>Bad</t>
        </is>
      </c>
    </row>
    <row r="3655">
      <c r="A3655" t="inlineStr">
        <is>
          <t>vaibhav.v</t>
        </is>
      </c>
      <c r="B3655" t="inlineStr">
        <is>
          <t>Vaibhav Varun</t>
        </is>
      </c>
      <c r="C3655" t="inlineStr">
        <is>
          <t>vaibhav.v@osmosys.co</t>
        </is>
      </c>
      <c r="D3655" t="inlineStr">
        <is>
          <t>incident-reporter</t>
        </is>
      </c>
      <c r="E3655">
        <f>HYPERLINK("http://gitlab.osmosys.co/incident-reporter/incident-reporter-app", "OQSHA Mobile App")</f>
        <v/>
      </c>
      <c r="F3655">
        <f>HYPERLINK("http://gitlab.osmosys.co/incident-reporter/incident-reporter-app/-/merge_requests/1782", "fix: fix department visibility")</f>
        <v/>
      </c>
      <c r="G3655" t="inlineStr">
        <is>
          <t>fix/fix-department</t>
        </is>
      </c>
      <c r="H3655" t="inlineStr">
        <is>
          <t>sprint-17</t>
        </is>
      </c>
      <c r="I3655" t="inlineStr">
        <is>
          <t>merged</t>
        </is>
      </c>
      <c r="J3655" t="inlineStr">
        <is>
          <t>f2fef7803794332420cd993c5f2c9f091e91ee8c</t>
        </is>
      </c>
      <c r="K3655">
        <f>HYPERLINK("http://gitlab.osmosys.co/incident-reporter/incident-reporter-app/-/merge_requests/1782#note_237732", "Missed to remove and handle")</f>
        <v/>
      </c>
      <c r="L3655" t="inlineStr">
        <is>
          <t>2025-07-16 17:11:35.240 IST</t>
        </is>
      </c>
      <c r="M3655" t="inlineStr">
        <is>
          <t>Soundariya B</t>
        </is>
      </c>
      <c r="N3655" t="inlineStr">
        <is>
          <t>Yes</t>
        </is>
      </c>
      <c r="O3655" t="inlineStr">
        <is>
          <t>Yes</t>
        </is>
      </c>
      <c r="P3655" t="inlineStr">
        <is>
          <t>Soundariya B</t>
        </is>
      </c>
      <c r="Q3655" t="inlineStr">
        <is>
          <t>Bad</t>
        </is>
      </c>
    </row>
    <row r="3656">
      <c r="A3656" t="inlineStr">
        <is>
          <t>vaibhav.v</t>
        </is>
      </c>
      <c r="B3656" t="inlineStr">
        <is>
          <t>Vaibhav Varun</t>
        </is>
      </c>
      <c r="C3656" t="inlineStr">
        <is>
          <t>vaibhav.v@osmosys.co</t>
        </is>
      </c>
      <c r="D3656" t="inlineStr">
        <is>
          <t>incident-reporter</t>
        </is>
      </c>
      <c r="E3656">
        <f>HYPERLINK("http://gitlab.osmosys.co/incident-reporter/incident-reporter-app", "OQSHA Mobile App")</f>
        <v/>
      </c>
      <c r="F3656">
        <f>HYPERLINK("http://gitlab.osmosys.co/incident-reporter/incident-reporter-app/-/merge_requests/1782", "fix: fix department visibility")</f>
        <v/>
      </c>
      <c r="G3656" t="inlineStr">
        <is>
          <t>fix/fix-department</t>
        </is>
      </c>
      <c r="H3656" t="inlineStr">
        <is>
          <t>sprint-17</t>
        </is>
      </c>
      <c r="I3656" t="inlineStr">
        <is>
          <t>merged</t>
        </is>
      </c>
      <c r="J3656" t="inlineStr">
        <is>
          <t>f2fef7803794332420cd993c5f2c9f091e91ee8c</t>
        </is>
      </c>
      <c r="K3656">
        <f>HYPERLINK("http://gitlab.osmosys.co/incident-reporter/incident-reporter-app/-/merge_requests/1782#note_237762", "Done, created a function same as that of other files which reduces repetitive code.")</f>
        <v/>
      </c>
      <c r="L3656" t="inlineStr">
        <is>
          <t>2025-07-16 17:39:56.997 IST</t>
        </is>
      </c>
      <c r="M3656" t="inlineStr">
        <is>
          <t>Vaibhav Varun</t>
        </is>
      </c>
      <c r="N3656" t="inlineStr">
        <is>
          <t>No</t>
        </is>
      </c>
      <c r="O3656" t="inlineStr">
        <is>
          <t>Yes</t>
        </is>
      </c>
      <c r="P3656" t="inlineStr">
        <is>
          <t>Soundariya B</t>
        </is>
      </c>
      <c r="Q3656" t="inlineStr">
        <is>
          <t>Bad</t>
        </is>
      </c>
    </row>
    <row r="3657">
      <c r="A3657" t="inlineStr">
        <is>
          <t>vaibhav.v</t>
        </is>
      </c>
      <c r="B3657" t="inlineStr">
        <is>
          <t>Vaibhav Varun</t>
        </is>
      </c>
      <c r="C3657" t="inlineStr">
        <is>
          <t>vaibhav.v@osmosys.co</t>
        </is>
      </c>
      <c r="D3657" t="inlineStr">
        <is>
          <t>incident-reporter</t>
        </is>
      </c>
      <c r="E3657">
        <f>HYPERLINK("http://gitlab.osmosys.co/incident-reporter/incident-reporter-app", "OQSHA Mobile App")</f>
        <v/>
      </c>
      <c r="F3657">
        <f>HYPERLINK("http://gitlab.osmosys.co/incident-reporter/incident-reporter-app/-/merge_requests/1782", "fix: fix department visibility")</f>
        <v/>
      </c>
      <c r="G3657" t="inlineStr">
        <is>
          <t>fix/fix-department</t>
        </is>
      </c>
      <c r="H3657" t="inlineStr">
        <is>
          <t>sprint-17</t>
        </is>
      </c>
      <c r="I3657" t="inlineStr">
        <is>
          <t>merged</t>
        </is>
      </c>
      <c r="J3657" t="inlineStr">
        <is>
          <t>d28278fa9b6fd04fe9e5308566abc332feda4439</t>
        </is>
      </c>
      <c r="K3657">
        <f>HYPERLINK("http://gitlab.osmosys.co/incident-reporter/incident-reporter-app/-/merge_requests/1782#note_237733", "Missed to remove this")</f>
        <v/>
      </c>
      <c r="L3657" t="inlineStr">
        <is>
          <t>2025-07-16 17:11:35.327 IST</t>
        </is>
      </c>
      <c r="M3657" t="inlineStr">
        <is>
          <t>Soundariya B</t>
        </is>
      </c>
      <c r="N3657" t="inlineStr">
        <is>
          <t>Yes</t>
        </is>
      </c>
      <c r="O3657" t="inlineStr">
        <is>
          <t>Yes</t>
        </is>
      </c>
      <c r="P3657" t="inlineStr">
        <is>
          <t>Soundariya B</t>
        </is>
      </c>
      <c r="Q3657" t="inlineStr">
        <is>
          <t>Bad</t>
        </is>
      </c>
    </row>
    <row r="3658">
      <c r="A3658" t="inlineStr">
        <is>
          <t>vaibhav.v</t>
        </is>
      </c>
      <c r="B3658" t="inlineStr">
        <is>
          <t>Vaibhav Varun</t>
        </is>
      </c>
      <c r="C3658" t="inlineStr">
        <is>
          <t>vaibhav.v@osmosys.co</t>
        </is>
      </c>
      <c r="D3658" t="inlineStr">
        <is>
          <t>incident-reporter</t>
        </is>
      </c>
      <c r="E3658">
        <f>HYPERLINK("http://gitlab.osmosys.co/incident-reporter/incident-reporter-app", "OQSHA Mobile App")</f>
        <v/>
      </c>
      <c r="F3658">
        <f>HYPERLINK("http://gitlab.osmosys.co/incident-reporter/incident-reporter-app/-/merge_requests/1782", "fix: fix department visibility")</f>
        <v/>
      </c>
      <c r="G3658" t="inlineStr">
        <is>
          <t>fix/fix-department</t>
        </is>
      </c>
      <c r="H3658" t="inlineStr">
        <is>
          <t>sprint-17</t>
        </is>
      </c>
      <c r="I3658" t="inlineStr">
        <is>
          <t>merged</t>
        </is>
      </c>
      <c r="J3658" t="inlineStr">
        <is>
          <t>d28278fa9b6fd04fe9e5308566abc332feda4439</t>
        </is>
      </c>
      <c r="K3658">
        <f>HYPERLINK("http://gitlab.osmosys.co/incident-reporter/incident-reporter-app/-/merge_requests/1782#note_237752", "This is a separate function that I have created and put multiple line of code in a single block, also moved department checking function in shared service.")</f>
        <v/>
      </c>
      <c r="L3658" t="inlineStr">
        <is>
          <t>2025-07-16 17:36:11.707 IST</t>
        </is>
      </c>
      <c r="M3658" t="inlineStr">
        <is>
          <t>Vaibhav Varun</t>
        </is>
      </c>
      <c r="N3658" t="inlineStr">
        <is>
          <t>No</t>
        </is>
      </c>
      <c r="O3658" t="inlineStr">
        <is>
          <t>Yes</t>
        </is>
      </c>
      <c r="P3658" t="inlineStr">
        <is>
          <t>Soundariya B</t>
        </is>
      </c>
      <c r="Q3658" t="inlineStr">
        <is>
          <t>Bad</t>
        </is>
      </c>
    </row>
    <row r="3659">
      <c r="A3659" t="inlineStr">
        <is>
          <t>vaibhav.v</t>
        </is>
      </c>
      <c r="B3659" t="inlineStr">
        <is>
          <t>Vaibhav Varun</t>
        </is>
      </c>
      <c r="C3659" t="inlineStr">
        <is>
          <t>vaibhav.v@osmosys.co</t>
        </is>
      </c>
      <c r="D3659" t="inlineStr">
        <is>
          <t>incident-reporter</t>
        </is>
      </c>
      <c r="E3659">
        <f>HYPERLINK("http://gitlab.osmosys.co/incident-reporter/incident-reporter-app", "OQSHA Mobile App")</f>
        <v/>
      </c>
      <c r="F3659">
        <f>HYPERLINK("http://gitlab.osmosys.co/incident-reporter/incident-reporter-app/-/merge_requests/1782", "fix: fix department visibility")</f>
        <v/>
      </c>
      <c r="G3659" t="inlineStr">
        <is>
          <t>fix/fix-department</t>
        </is>
      </c>
      <c r="H3659" t="inlineStr">
        <is>
          <t>sprint-17</t>
        </is>
      </c>
      <c r="I3659" t="inlineStr">
        <is>
          <t>merged</t>
        </is>
      </c>
      <c r="J3659" t="inlineStr">
        <is>
          <t>050964bf8bf176d7ef2b5890da970f7e64d8031d</t>
        </is>
      </c>
      <c r="K3659">
        <f>HYPERLINK("http://gitlab.osmosys.co/incident-reporter/incident-reporter-app/-/merge_requests/1782#note_237734", "Please define in some common file and then reuse it. Remove it from here")</f>
        <v/>
      </c>
      <c r="L3659" t="inlineStr">
        <is>
          <t>2025-07-16 17:11:35.410 IST</t>
        </is>
      </c>
      <c r="M3659" t="inlineStr">
        <is>
          <t>Soundariya B</t>
        </is>
      </c>
      <c r="N3659" t="inlineStr">
        <is>
          <t>Yes</t>
        </is>
      </c>
      <c r="O3659" t="inlineStr">
        <is>
          <t>Yes</t>
        </is>
      </c>
      <c r="P3659" t="inlineStr">
        <is>
          <t>Soundariya B</t>
        </is>
      </c>
      <c r="Q3659" t="inlineStr">
        <is>
          <t>Bad</t>
        </is>
      </c>
    </row>
    <row r="3660">
      <c r="A3660" t="inlineStr">
        <is>
          <t>vaibhav.v</t>
        </is>
      </c>
      <c r="B3660" t="inlineStr">
        <is>
          <t>Vaibhav Varun</t>
        </is>
      </c>
      <c r="C3660" t="inlineStr">
        <is>
          <t>vaibhav.v@osmosys.co</t>
        </is>
      </c>
      <c r="D3660" t="inlineStr">
        <is>
          <t>incident-reporter</t>
        </is>
      </c>
      <c r="E3660">
        <f>HYPERLINK("http://gitlab.osmosys.co/incident-reporter/incident-reporter-app", "OQSHA Mobile App")</f>
        <v/>
      </c>
      <c r="F3660">
        <f>HYPERLINK("http://gitlab.osmosys.co/incident-reporter/incident-reporter-app/-/merge_requests/1782", "fix: fix department visibility")</f>
        <v/>
      </c>
      <c r="G3660" t="inlineStr">
        <is>
          <t>fix/fix-department</t>
        </is>
      </c>
      <c r="H3660" t="inlineStr">
        <is>
          <t>sprint-17</t>
        </is>
      </c>
      <c r="I3660" t="inlineStr">
        <is>
          <t>merged</t>
        </is>
      </c>
      <c r="J3660" t="inlineStr">
        <is>
          <t>050964bf8bf176d7ef2b5890da970f7e64d8031d</t>
        </is>
      </c>
      <c r="K3660">
        <f>HYPERLINK("http://gitlab.osmosys.co/incident-reporter/incident-reporter-app/-/merge_requests/1782#note_237751", "This is required and done on purpose, I reduced and made a common function")</f>
        <v/>
      </c>
      <c r="L3660" t="inlineStr">
        <is>
          <t>2025-07-16 17:35:23.954 IST</t>
        </is>
      </c>
      <c r="M3660" t="inlineStr">
        <is>
          <t>Vaibhav Varun</t>
        </is>
      </c>
      <c r="N3660" t="inlineStr">
        <is>
          <t>No</t>
        </is>
      </c>
      <c r="O3660" t="inlineStr">
        <is>
          <t>Yes</t>
        </is>
      </c>
      <c r="P3660" t="inlineStr">
        <is>
          <t>Soundariya B</t>
        </is>
      </c>
      <c r="Q3660" t="inlineStr">
        <is>
          <t>Bad</t>
        </is>
      </c>
    </row>
    <row r="3661">
      <c r="A3661" t="inlineStr">
        <is>
          <t>vaibhav.v</t>
        </is>
      </c>
      <c r="B3661" t="inlineStr">
        <is>
          <t>Vaibhav Varun</t>
        </is>
      </c>
      <c r="C3661" t="inlineStr">
        <is>
          <t>vaibhav.v@osmosys.co</t>
        </is>
      </c>
      <c r="D3661" t="inlineStr">
        <is>
          <t>incident-reporter</t>
        </is>
      </c>
      <c r="E3661">
        <f>HYPERLINK("http://gitlab.osmosys.co/incident-reporter/incident-reporter-app", "OQSHA Mobile App")</f>
        <v/>
      </c>
      <c r="F3661">
        <f>HYPERLINK("http://gitlab.osmosys.co/incident-reporter/incident-reporter-app/-/merge_requests/1776", "feat: add add view audit page")</f>
        <v/>
      </c>
      <c r="G3661" t="inlineStr">
        <is>
          <t>feat/add-audit</t>
        </is>
      </c>
      <c r="H3661" t="inlineStr">
        <is>
          <t>sprint-17</t>
        </is>
      </c>
      <c r="I3661" t="inlineStr">
        <is>
          <t>opened</t>
        </is>
      </c>
      <c r="J3661" t="inlineStr"/>
      <c r="K3661" t="inlineStr"/>
      <c r="L3661" t="inlineStr"/>
      <c r="M3661" t="inlineStr"/>
      <c r="N3661" t="inlineStr"/>
      <c r="O3661" t="inlineStr"/>
      <c r="P3661" t="inlineStr"/>
      <c r="Q3661" t="inlineStr"/>
    </row>
    <row r="3662">
      <c r="A3662" t="inlineStr">
        <is>
          <t>vaibhav.v</t>
        </is>
      </c>
      <c r="B3662" t="inlineStr">
        <is>
          <t>Vaibhav Varun</t>
        </is>
      </c>
      <c r="C3662" t="inlineStr">
        <is>
          <t>vaibhav.v@osmosys.co</t>
        </is>
      </c>
      <c r="D3662" t="inlineStr">
        <is>
          <t>incident-reporter</t>
        </is>
      </c>
      <c r="E3662">
        <f>HYPERLINK("http://gitlab.osmosys.co/incident-reporter/incident-reporter-app", "OQSHA Mobile App")</f>
        <v/>
      </c>
      <c r="F3662">
        <f>HYPERLINK("http://gitlab.osmosys.co/incident-reporter/incident-reporter-app/-/merge_requests/1767", "feat: add condition assign to")</f>
        <v/>
      </c>
      <c r="G3662" t="inlineStr">
        <is>
          <t>feat/fix-assign</t>
        </is>
      </c>
      <c r="H3662" t="inlineStr">
        <is>
          <t>sprint-17</t>
        </is>
      </c>
      <c r="I3662" t="inlineStr">
        <is>
          <t>merged</t>
        </is>
      </c>
      <c r="J3662" t="inlineStr"/>
      <c r="K3662" t="inlineStr"/>
      <c r="L3662" t="inlineStr"/>
      <c r="M3662" t="inlineStr"/>
      <c r="N3662" t="inlineStr"/>
      <c r="O3662" t="inlineStr"/>
      <c r="P3662" t="inlineStr"/>
      <c r="Q3662" t="inlineStr"/>
    </row>
    <row r="3663">
      <c r="A3663" t="inlineStr">
        <is>
          <t>vaibhav.v</t>
        </is>
      </c>
      <c r="B3663" t="inlineStr">
        <is>
          <t>Vaibhav Varun</t>
        </is>
      </c>
      <c r="C3663" t="inlineStr">
        <is>
          <t>vaibhav.v@osmosys.co</t>
        </is>
      </c>
      <c r="D3663" t="inlineStr">
        <is>
          <t>incident-reporter</t>
        </is>
      </c>
      <c r="E3663">
        <f>HYPERLINK("http://gitlab.osmosys.co/incident-reporter/incident-reporter-app", "OQSHA Mobile App")</f>
        <v/>
      </c>
      <c r="F3663">
        <f>HYPERLINK("http://gitlab.osmosys.co/incident-reporter/incident-reporter-app/-/merge_requests/1762", "fix: add department name in list")</f>
        <v/>
      </c>
      <c r="G3663" t="inlineStr">
        <is>
          <t>fix/department-name</t>
        </is>
      </c>
      <c r="H3663" t="inlineStr">
        <is>
          <t>sprint-17</t>
        </is>
      </c>
      <c r="I3663" t="inlineStr">
        <is>
          <t>merged</t>
        </is>
      </c>
      <c r="J3663" t="inlineStr"/>
      <c r="K3663" t="inlineStr"/>
      <c r="L3663" t="inlineStr"/>
      <c r="M3663" t="inlineStr"/>
      <c r="N3663" t="inlineStr"/>
      <c r="O3663" t="inlineStr"/>
      <c r="P3663" t="inlineStr"/>
      <c r="Q3663" t="inlineStr"/>
    </row>
    <row r="3664">
      <c r="A3664" t="inlineStr">
        <is>
          <t>vaibhav.v</t>
        </is>
      </c>
      <c r="B3664" t="inlineStr">
        <is>
          <t>Vaibhav Varun</t>
        </is>
      </c>
      <c r="C3664" t="inlineStr">
        <is>
          <t>vaibhav.v@osmosys.co</t>
        </is>
      </c>
      <c r="D3664" t="inlineStr">
        <is>
          <t>incident-reporter</t>
        </is>
      </c>
      <c r="E3664">
        <f>HYPERLINK("http://gitlab.osmosys.co/incident-reporter/incident-reporter-app", "OQSHA Mobile App")</f>
        <v/>
      </c>
      <c r="F3664">
        <f>HYPERLINK("http://gitlab.osmosys.co/incident-reporter/incident-reporter-app/-/merge_requests/1761", "feat: add condition assign to")</f>
        <v/>
      </c>
      <c r="G3664" t="inlineStr">
        <is>
          <t>feat/assign-to</t>
        </is>
      </c>
      <c r="H3664" t="inlineStr">
        <is>
          <t>sprint-17</t>
        </is>
      </c>
      <c r="I3664" t="inlineStr">
        <is>
          <t>merged</t>
        </is>
      </c>
      <c r="J3664" t="inlineStr"/>
      <c r="K3664" t="inlineStr"/>
      <c r="L3664" t="inlineStr"/>
      <c r="M3664" t="inlineStr"/>
      <c r="N3664" t="inlineStr"/>
      <c r="O3664" t="inlineStr"/>
      <c r="P3664" t="inlineStr"/>
      <c r="Q3664" t="inlineStr"/>
    </row>
    <row r="3665">
      <c r="A3665" t="inlineStr">
        <is>
          <t>vaibhav.v</t>
        </is>
      </c>
      <c r="B3665" t="inlineStr">
        <is>
          <t>Vaibhav Varun</t>
        </is>
      </c>
      <c r="C3665" t="inlineStr">
        <is>
          <t>vaibhav.v@osmosys.co</t>
        </is>
      </c>
      <c r="D3665" t="inlineStr">
        <is>
          <t>incident-reporter</t>
        </is>
      </c>
      <c r="E3665">
        <f>HYPERLINK("http://gitlab.osmosys.co/incident-reporter/incident-reporter-app", "OQSHA Mobile App")</f>
        <v/>
      </c>
      <c r="F3665">
        <f>HYPERLINK("http://gitlab.osmosys.co/incident-reporter/incident-reporter-app/-/merge_requests/1755", "feat: add custom assign to tickets")</f>
        <v/>
      </c>
      <c r="G3665" t="inlineStr">
        <is>
          <t>feat/custom-assign</t>
        </is>
      </c>
      <c r="H3665" t="inlineStr">
        <is>
          <t>sprint-17</t>
        </is>
      </c>
      <c r="I3665" t="inlineStr">
        <is>
          <t>merged</t>
        </is>
      </c>
      <c r="J3665" t="inlineStr"/>
      <c r="K3665" t="inlineStr"/>
      <c r="L3665" t="inlineStr"/>
      <c r="M3665" t="inlineStr"/>
      <c r="N3665" t="inlineStr"/>
      <c r="O3665" t="inlineStr"/>
      <c r="P3665" t="inlineStr"/>
      <c r="Q3665" t="inlineStr"/>
    </row>
    <row r="3666">
      <c r="A3666" t="inlineStr">
        <is>
          <t>vaibhav.v</t>
        </is>
      </c>
      <c r="B3666" t="inlineStr">
        <is>
          <t>Vaibhav Varun</t>
        </is>
      </c>
      <c r="C3666" t="inlineStr">
        <is>
          <t>vaibhav.v@osmosys.co</t>
        </is>
      </c>
      <c r="D3666" t="inlineStr">
        <is>
          <t>incident-reporter</t>
        </is>
      </c>
      <c r="E3666">
        <f>HYPERLINK("http://gitlab.osmosys.co/incident-reporter/incident-reporter-app", "OQSHA Mobile App")</f>
        <v/>
      </c>
      <c r="F3666">
        <f>HYPERLINK("http://gitlab.osmosys.co/incident-reporter/incident-reporter-app/-/merge_requests/1751", "feat: add audit list")</f>
        <v/>
      </c>
      <c r="G3666" t="inlineStr">
        <is>
          <t>feat/audit-list</t>
        </is>
      </c>
      <c r="H3666" t="inlineStr">
        <is>
          <t>sprint-17</t>
        </is>
      </c>
      <c r="I3666" t="inlineStr">
        <is>
          <t>merged</t>
        </is>
      </c>
      <c r="J3666" t="inlineStr">
        <is>
          <t>bb833263bf8b9e4487a9dffcdb901b8f73eabeb4</t>
        </is>
      </c>
      <c r="K3666">
        <f>HYPERLINK("http://gitlab.osmosys.co/incident-reporter/incident-reporter-app/-/merge_requests/1751#note_234398", "![image](/uploads/c012371360d6f62a51238621fea37c88/image.png)
There 4 points to fix please check")</f>
        <v/>
      </c>
      <c r="L3666" t="inlineStr">
        <is>
          <t>2025-07-10 19:15:03.120 IST</t>
        </is>
      </c>
      <c r="M3666" t="inlineStr">
        <is>
          <t>Soundariya B</t>
        </is>
      </c>
      <c r="N3666" t="inlineStr">
        <is>
          <t>Yes</t>
        </is>
      </c>
      <c r="O3666" t="inlineStr">
        <is>
          <t>Yes</t>
        </is>
      </c>
      <c r="P3666" t="inlineStr">
        <is>
          <t>Soundariya B</t>
        </is>
      </c>
      <c r="Q3666" t="inlineStr">
        <is>
          <t>Bad</t>
        </is>
      </c>
    </row>
    <row r="3667">
      <c r="A3667" t="inlineStr">
        <is>
          <t>vaibhav.v</t>
        </is>
      </c>
      <c r="B3667" t="inlineStr">
        <is>
          <t>Vaibhav Varun</t>
        </is>
      </c>
      <c r="C3667" t="inlineStr">
        <is>
          <t>vaibhav.v@osmosys.co</t>
        </is>
      </c>
      <c r="D3667" t="inlineStr">
        <is>
          <t>incident-reporter</t>
        </is>
      </c>
      <c r="E3667">
        <f>HYPERLINK("http://gitlab.osmosys.co/incident-reporter/incident-reporter-app", "OQSHA Mobile App")</f>
        <v/>
      </c>
      <c r="F3667">
        <f>HYPERLINK("http://gitlab.osmosys.co/incident-reporter/incident-reporter-app/-/merge_requests/1751", "feat: add audit list")</f>
        <v/>
      </c>
      <c r="G3667" t="inlineStr">
        <is>
          <t>feat/audit-list</t>
        </is>
      </c>
      <c r="H3667" t="inlineStr">
        <is>
          <t>sprint-17</t>
        </is>
      </c>
      <c r="I3667" t="inlineStr">
        <is>
          <t>merged</t>
        </is>
      </c>
      <c r="J3667" t="inlineStr">
        <is>
          <t>bb833263bf8b9e4487a9dffcdb901b8f73eabeb4</t>
        </is>
      </c>
      <c r="K3667">
        <f>HYPERLINK("http://gitlab.osmosys.co/incident-reporter/incident-reporter-app/-/merge_requests/1751#note_234658", "Changed")</f>
        <v/>
      </c>
      <c r="L3667" t="inlineStr">
        <is>
          <t>2025-07-10 23:49:33.542 IST</t>
        </is>
      </c>
      <c r="M3667" t="inlineStr">
        <is>
          <t>Vaibhav Varun</t>
        </is>
      </c>
      <c r="N3667" t="inlineStr">
        <is>
          <t>No</t>
        </is>
      </c>
      <c r="O3667" t="inlineStr">
        <is>
          <t>Yes</t>
        </is>
      </c>
      <c r="P3667" t="inlineStr">
        <is>
          <t>Soundariya B</t>
        </is>
      </c>
      <c r="Q3667" t="inlineStr">
        <is>
          <t>Bad</t>
        </is>
      </c>
    </row>
    <row r="3668">
      <c r="A3668" t="inlineStr">
        <is>
          <t>vaibhav.v</t>
        </is>
      </c>
      <c r="B3668" t="inlineStr">
        <is>
          <t>Vaibhav Varun</t>
        </is>
      </c>
      <c r="C3668" t="inlineStr">
        <is>
          <t>vaibhav.v@osmosys.co</t>
        </is>
      </c>
      <c r="D3668" t="inlineStr">
        <is>
          <t>incident-reporter</t>
        </is>
      </c>
      <c r="E3668">
        <f>HYPERLINK("http://gitlab.osmosys.co/incident-reporter/incident-reporter-app", "OQSHA Mobile App")</f>
        <v/>
      </c>
      <c r="F3668">
        <f>HYPERLINK("http://gitlab.osmosys.co/incident-reporter/incident-reporter-app/-/merge_requests/1751", "feat: add audit list")</f>
        <v/>
      </c>
      <c r="G3668" t="inlineStr">
        <is>
          <t>feat/audit-list</t>
        </is>
      </c>
      <c r="H3668" t="inlineStr">
        <is>
          <t>sprint-17</t>
        </is>
      </c>
      <c r="I3668" t="inlineStr">
        <is>
          <t>merged</t>
        </is>
      </c>
      <c r="J3668" t="inlineStr">
        <is>
          <t>c2a1a4fe00481e8a9031645d828415e96fa5b31b</t>
        </is>
      </c>
      <c r="K3668">
        <f>HYPERLINK("http://gitlab.osmosys.co/incident-reporter/incident-reporter-app/-/merge_requests/1751#note_234399", "![image](/uploads/0b6580d88c75e56fb621d0ebff3f99cc/image.png)")</f>
        <v/>
      </c>
      <c r="L3668" t="inlineStr">
        <is>
          <t>2025-07-10 19:15:03.155 IST</t>
        </is>
      </c>
      <c r="M3668" t="inlineStr">
        <is>
          <t>Soundariya B</t>
        </is>
      </c>
      <c r="N3668" t="inlineStr">
        <is>
          <t>Yes</t>
        </is>
      </c>
      <c r="O3668" t="inlineStr">
        <is>
          <t>Yes</t>
        </is>
      </c>
      <c r="P3668" t="inlineStr">
        <is>
          <t>Soundariya B</t>
        </is>
      </c>
      <c r="Q3668" t="inlineStr">
        <is>
          <t>Neutral</t>
        </is>
      </c>
    </row>
    <row r="3669">
      <c r="A3669" t="inlineStr">
        <is>
          <t>vaibhav.v</t>
        </is>
      </c>
      <c r="B3669" t="inlineStr">
        <is>
          <t>Vaibhav Varun</t>
        </is>
      </c>
      <c r="C3669" t="inlineStr">
        <is>
          <t>vaibhav.v@osmosys.co</t>
        </is>
      </c>
      <c r="D3669" t="inlineStr">
        <is>
          <t>incident-reporter</t>
        </is>
      </c>
      <c r="E3669">
        <f>HYPERLINK("http://gitlab.osmosys.co/incident-reporter/incident-reporter-app", "OQSHA Mobile App")</f>
        <v/>
      </c>
      <c r="F3669">
        <f>HYPERLINK("http://gitlab.osmosys.co/incident-reporter/incident-reporter-app/-/merge_requests/1751", "feat: add audit list")</f>
        <v/>
      </c>
      <c r="G3669" t="inlineStr">
        <is>
          <t>feat/audit-list</t>
        </is>
      </c>
      <c r="H3669" t="inlineStr">
        <is>
          <t>sprint-17</t>
        </is>
      </c>
      <c r="I3669" t="inlineStr">
        <is>
          <t>merged</t>
        </is>
      </c>
      <c r="J3669" t="inlineStr">
        <is>
          <t>c2a1a4fe00481e8a9031645d828415e96fa5b31b</t>
        </is>
      </c>
      <c r="K3669">
        <f>HYPERLINK("http://gitlab.osmosys.co/incident-reporter/incident-reporter-app/-/merge_requests/1751#note_234660", "Single org, so kept organisation  
![image](/uploads/a7e70520cecbc2ceca29643513e4fa18/image.png)")</f>
        <v/>
      </c>
      <c r="L3669" t="inlineStr">
        <is>
          <t>2025-07-10 23:50:51.959 IST</t>
        </is>
      </c>
      <c r="M3669" t="inlineStr">
        <is>
          <t>Vaibhav Varun</t>
        </is>
      </c>
      <c r="N3669" t="inlineStr">
        <is>
          <t>No</t>
        </is>
      </c>
      <c r="O3669" t="inlineStr">
        <is>
          <t>Yes</t>
        </is>
      </c>
      <c r="P3669" t="inlineStr">
        <is>
          <t>Soundariya B</t>
        </is>
      </c>
      <c r="Q3669" t="inlineStr">
        <is>
          <t>Neutral</t>
        </is>
      </c>
    </row>
    <row r="3670">
      <c r="A3670" t="inlineStr">
        <is>
          <t>vaibhav.v</t>
        </is>
      </c>
      <c r="B3670" t="inlineStr">
        <is>
          <t>Vaibhav Varun</t>
        </is>
      </c>
      <c r="C3670" t="inlineStr">
        <is>
          <t>vaibhav.v@osmosys.co</t>
        </is>
      </c>
      <c r="D3670" t="inlineStr">
        <is>
          <t>incident-reporter</t>
        </is>
      </c>
      <c r="E3670">
        <f>HYPERLINK("http://gitlab.osmosys.co/incident-reporter/incident-reporter-app", "OQSHA Mobile App")</f>
        <v/>
      </c>
      <c r="F3670">
        <f>HYPERLINK("http://gitlab.osmosys.co/incident-reporter/incident-reporter-app/-/merge_requests/1751", "feat: add audit list")</f>
        <v/>
      </c>
      <c r="G3670" t="inlineStr">
        <is>
          <t>feat/audit-list</t>
        </is>
      </c>
      <c r="H3670" t="inlineStr">
        <is>
          <t>sprint-17</t>
        </is>
      </c>
      <c r="I3670" t="inlineStr">
        <is>
          <t>merged</t>
        </is>
      </c>
      <c r="J3670" t="inlineStr">
        <is>
          <t>9d71c7752e874a3faa1d17c2c13b79295d4015d4</t>
        </is>
      </c>
      <c r="K3670">
        <f>HYPERLINK("http://gitlab.osmosys.co/incident-reporter/incident-reporter-app/-/merge_requests/1751#note_234400", "Bad indentiation")</f>
        <v/>
      </c>
      <c r="L3670" t="inlineStr">
        <is>
          <t>2025-07-10 19:15:03.216 IST</t>
        </is>
      </c>
      <c r="M3670" t="inlineStr">
        <is>
          <t>Soundariya B</t>
        </is>
      </c>
      <c r="N3670" t="inlineStr">
        <is>
          <t>Yes</t>
        </is>
      </c>
      <c r="O3670" t="inlineStr">
        <is>
          <t>Yes</t>
        </is>
      </c>
      <c r="P3670" t="inlineStr">
        <is>
          <t>Soundariya B</t>
        </is>
      </c>
      <c r="Q3670" t="inlineStr">
        <is>
          <t>Bad</t>
        </is>
      </c>
    </row>
    <row r="3671">
      <c r="A3671" t="inlineStr">
        <is>
          <t>vaibhav.v</t>
        </is>
      </c>
      <c r="B3671" t="inlineStr">
        <is>
          <t>Vaibhav Varun</t>
        </is>
      </c>
      <c r="C3671" t="inlineStr">
        <is>
          <t>vaibhav.v@osmosys.co</t>
        </is>
      </c>
      <c r="D3671" t="inlineStr">
        <is>
          <t>incident-reporter</t>
        </is>
      </c>
      <c r="E3671">
        <f>HYPERLINK("http://gitlab.osmosys.co/incident-reporter/incident-reporter-app", "OQSHA Mobile App")</f>
        <v/>
      </c>
      <c r="F3671">
        <f>HYPERLINK("http://gitlab.osmosys.co/incident-reporter/incident-reporter-app/-/merge_requests/1751", "feat: add audit list")</f>
        <v/>
      </c>
      <c r="G3671" t="inlineStr">
        <is>
          <t>feat/audit-list</t>
        </is>
      </c>
      <c r="H3671" t="inlineStr">
        <is>
          <t>sprint-17</t>
        </is>
      </c>
      <c r="I3671" t="inlineStr">
        <is>
          <t>merged</t>
        </is>
      </c>
      <c r="J3671" t="inlineStr">
        <is>
          <t>9d71c7752e874a3faa1d17c2c13b79295d4015d4</t>
        </is>
      </c>
      <c r="K3671">
        <f>HYPERLINK("http://gitlab.osmosys.co/incident-reporter/incident-reporter-app/-/merge_requests/1751#note_234665", "Changed")</f>
        <v/>
      </c>
      <c r="L3671" t="inlineStr">
        <is>
          <t>2025-07-10 23:52:00.115 IST</t>
        </is>
      </c>
      <c r="M3671" t="inlineStr">
        <is>
          <t>Vaibhav Varun</t>
        </is>
      </c>
      <c r="N3671" t="inlineStr">
        <is>
          <t>No</t>
        </is>
      </c>
      <c r="O3671" t="inlineStr">
        <is>
          <t>Yes</t>
        </is>
      </c>
      <c r="P3671" t="inlineStr">
        <is>
          <t>Soundariya B</t>
        </is>
      </c>
      <c r="Q3671" t="inlineStr">
        <is>
          <t>Bad</t>
        </is>
      </c>
    </row>
    <row r="3672">
      <c r="A3672" t="inlineStr">
        <is>
          <t>vaibhav.v</t>
        </is>
      </c>
      <c r="B3672" t="inlineStr">
        <is>
          <t>Vaibhav Varun</t>
        </is>
      </c>
      <c r="C3672" t="inlineStr">
        <is>
          <t>vaibhav.v@osmosys.co</t>
        </is>
      </c>
      <c r="D3672" t="inlineStr">
        <is>
          <t>incident-reporter</t>
        </is>
      </c>
      <c r="E3672">
        <f>HYPERLINK("http://gitlab.osmosys.co/incident-reporter/incident-reporter-app", "OQSHA Mobile App")</f>
        <v/>
      </c>
      <c r="F3672">
        <f>HYPERLINK("http://gitlab.osmosys.co/incident-reporter/incident-reporter-app/-/merge_requests/1751", "feat: add audit list")</f>
        <v/>
      </c>
      <c r="G3672" t="inlineStr">
        <is>
          <t>feat/audit-list</t>
        </is>
      </c>
      <c r="H3672" t="inlineStr">
        <is>
          <t>sprint-17</t>
        </is>
      </c>
      <c r="I3672" t="inlineStr">
        <is>
          <t>merged</t>
        </is>
      </c>
      <c r="J3672" t="inlineStr">
        <is>
          <t>988d02d3759e3022e65811782b0b4cc480859e49</t>
        </is>
      </c>
      <c r="K3672">
        <f>HYPERLINK("http://gitlab.osmosys.co/incident-reporter/incident-reporter-app/-/merge_requests/1751#note_234401", "Duplicated function")</f>
        <v/>
      </c>
      <c r="L3672" t="inlineStr">
        <is>
          <t>2025-07-10 19:15:03.307 IST</t>
        </is>
      </c>
      <c r="M3672" t="inlineStr">
        <is>
          <t>Soundariya B</t>
        </is>
      </c>
      <c r="N3672" t="inlineStr">
        <is>
          <t>Yes</t>
        </is>
      </c>
      <c r="O3672" t="inlineStr">
        <is>
          <t>Yes</t>
        </is>
      </c>
      <c r="P3672" t="inlineStr">
        <is>
          <t>Soundariya B</t>
        </is>
      </c>
      <c r="Q3672" t="inlineStr">
        <is>
          <t>Bad</t>
        </is>
      </c>
    </row>
    <row r="3673">
      <c r="A3673" t="inlineStr">
        <is>
          <t>vaibhav.v</t>
        </is>
      </c>
      <c r="B3673" t="inlineStr">
        <is>
          <t>Vaibhav Varun</t>
        </is>
      </c>
      <c r="C3673" t="inlineStr">
        <is>
          <t>vaibhav.v@osmosys.co</t>
        </is>
      </c>
      <c r="D3673" t="inlineStr">
        <is>
          <t>incident-reporter</t>
        </is>
      </c>
      <c r="E3673">
        <f>HYPERLINK("http://gitlab.osmosys.co/incident-reporter/incident-reporter-app", "OQSHA Mobile App")</f>
        <v/>
      </c>
      <c r="F3673">
        <f>HYPERLINK("http://gitlab.osmosys.co/incident-reporter/incident-reporter-app/-/merge_requests/1751", "feat: add audit list")</f>
        <v/>
      </c>
      <c r="G3673" t="inlineStr">
        <is>
          <t>feat/audit-list</t>
        </is>
      </c>
      <c r="H3673" t="inlineStr">
        <is>
          <t>sprint-17</t>
        </is>
      </c>
      <c r="I3673" t="inlineStr">
        <is>
          <t>merged</t>
        </is>
      </c>
      <c r="J3673" t="inlineStr">
        <is>
          <t>988d02d3759e3022e65811782b0b4cc480859e49</t>
        </is>
      </c>
      <c r="K3673">
        <f>HYPERLINK("http://gitlab.osmosys.co/incident-reporter/incident-reporter-app/-/merge_requests/1751#note_234666", "Removed")</f>
        <v/>
      </c>
      <c r="L3673" t="inlineStr">
        <is>
          <t>2025-07-10 23:52:19.507 IST</t>
        </is>
      </c>
      <c r="M3673" t="inlineStr">
        <is>
          <t>Vaibhav Varun</t>
        </is>
      </c>
      <c r="N3673" t="inlineStr">
        <is>
          <t>No</t>
        </is>
      </c>
      <c r="O3673" t="inlineStr">
        <is>
          <t>Yes</t>
        </is>
      </c>
      <c r="P3673" t="inlineStr">
        <is>
          <t>Soundariya B</t>
        </is>
      </c>
      <c r="Q3673" t="inlineStr">
        <is>
          <t>Bad</t>
        </is>
      </c>
    </row>
    <row r="3674">
      <c r="A3674" t="inlineStr">
        <is>
          <t>vaibhav.v</t>
        </is>
      </c>
      <c r="B3674" t="inlineStr">
        <is>
          <t>Vaibhav Varun</t>
        </is>
      </c>
      <c r="C3674" t="inlineStr">
        <is>
          <t>vaibhav.v@osmosys.co</t>
        </is>
      </c>
      <c r="D3674" t="inlineStr">
        <is>
          <t>incident-reporter</t>
        </is>
      </c>
      <c r="E3674">
        <f>HYPERLINK("http://gitlab.osmosys.co/incident-reporter/incident-reporter-app", "OQSHA Mobile App")</f>
        <v/>
      </c>
      <c r="F3674">
        <f>HYPERLINK("http://gitlab.osmosys.co/incident-reporter/incident-reporter-app/-/merge_requests/1751", "feat: add audit list")</f>
        <v/>
      </c>
      <c r="G3674" t="inlineStr">
        <is>
          <t>feat/audit-list</t>
        </is>
      </c>
      <c r="H3674" t="inlineStr">
        <is>
          <t>sprint-17</t>
        </is>
      </c>
      <c r="I3674" t="inlineStr">
        <is>
          <t>merged</t>
        </is>
      </c>
      <c r="J3674" t="inlineStr">
        <is>
          <t>b07ed24e32067e3bb0cdc1b6c361e93da33687a8</t>
        </is>
      </c>
      <c r="K3674">
        <f>HYPERLINK("http://gitlab.osmosys.co/incident-reporter/incident-reporter-app/-/merge_requests/1751#note_234402", "Take this route from constant file")</f>
        <v/>
      </c>
      <c r="L3674" t="inlineStr">
        <is>
          <t>2025-07-10 19:15:03.396 IST</t>
        </is>
      </c>
      <c r="M3674" t="inlineStr">
        <is>
          <t>Soundariya B</t>
        </is>
      </c>
      <c r="N3674" t="inlineStr">
        <is>
          <t>Yes</t>
        </is>
      </c>
      <c r="O3674" t="inlineStr">
        <is>
          <t>Yes</t>
        </is>
      </c>
      <c r="P3674" t="inlineStr">
        <is>
          <t>Soundariya B</t>
        </is>
      </c>
      <c r="Q3674" t="inlineStr">
        <is>
          <t>Bad</t>
        </is>
      </c>
    </row>
    <row r="3675">
      <c r="A3675" t="inlineStr">
        <is>
          <t>vaibhav.v</t>
        </is>
      </c>
      <c r="B3675" t="inlineStr">
        <is>
          <t>Vaibhav Varun</t>
        </is>
      </c>
      <c r="C3675" t="inlineStr">
        <is>
          <t>vaibhav.v@osmosys.co</t>
        </is>
      </c>
      <c r="D3675" t="inlineStr">
        <is>
          <t>incident-reporter</t>
        </is>
      </c>
      <c r="E3675">
        <f>HYPERLINK("http://gitlab.osmosys.co/incident-reporter/incident-reporter-app", "OQSHA Mobile App")</f>
        <v/>
      </c>
      <c r="F3675">
        <f>HYPERLINK("http://gitlab.osmosys.co/incident-reporter/incident-reporter-app/-/merge_requests/1751", "feat: add audit list")</f>
        <v/>
      </c>
      <c r="G3675" t="inlineStr">
        <is>
          <t>feat/audit-list</t>
        </is>
      </c>
      <c r="H3675" t="inlineStr">
        <is>
          <t>sprint-17</t>
        </is>
      </c>
      <c r="I3675" t="inlineStr">
        <is>
          <t>merged</t>
        </is>
      </c>
      <c r="J3675" t="inlineStr">
        <is>
          <t>b07ed24e32067e3bb0cdc1b6c361e93da33687a8</t>
        </is>
      </c>
      <c r="K3675">
        <f>HYPERLINK("http://gitlab.osmosys.co/incident-reporter/incident-reporter-app/-/merge_requests/1751#note_234667", "Done")</f>
        <v/>
      </c>
      <c r="L3675" t="inlineStr">
        <is>
          <t>2025-07-10 23:53:09.331 IST</t>
        </is>
      </c>
      <c r="M3675" t="inlineStr">
        <is>
          <t>Vaibhav Varun</t>
        </is>
      </c>
      <c r="N3675" t="inlineStr">
        <is>
          <t>No</t>
        </is>
      </c>
      <c r="O3675" t="inlineStr">
        <is>
          <t>Yes</t>
        </is>
      </c>
      <c r="P3675" t="inlineStr">
        <is>
          <t>Soundariya B</t>
        </is>
      </c>
      <c r="Q3675" t="inlineStr">
        <is>
          <t>Bad</t>
        </is>
      </c>
    </row>
    <row r="3676">
      <c r="A3676" t="inlineStr">
        <is>
          <t>vaibhav.v</t>
        </is>
      </c>
      <c r="B3676" t="inlineStr">
        <is>
          <t>Vaibhav Varun</t>
        </is>
      </c>
      <c r="C3676" t="inlineStr">
        <is>
          <t>vaibhav.v@osmosys.co</t>
        </is>
      </c>
      <c r="D3676" t="inlineStr">
        <is>
          <t>incident-reporter</t>
        </is>
      </c>
      <c r="E3676">
        <f>HYPERLINK("http://gitlab.osmosys.co/incident-reporter/incident-reporter-app", "OQSHA Mobile App")</f>
        <v/>
      </c>
      <c r="F3676">
        <f>HYPERLINK("http://gitlab.osmosys.co/incident-reporter/incident-reporter-app/-/merge_requests/1751", "feat: add audit list")</f>
        <v/>
      </c>
      <c r="G3676" t="inlineStr">
        <is>
          <t>feat/audit-list</t>
        </is>
      </c>
      <c r="H3676" t="inlineStr">
        <is>
          <t>sprint-17</t>
        </is>
      </c>
      <c r="I3676" t="inlineStr">
        <is>
          <t>merged</t>
        </is>
      </c>
      <c r="J3676" t="inlineStr">
        <is>
          <t>97d963de07acc478026402edbe180cd7d1ff388f</t>
        </is>
      </c>
      <c r="K3676">
        <f>HYPERLINK("http://gitlab.osmosys.co/incident-reporter/incident-reporter-app/-/merge_requests/1751#note_234403", "Remove this")</f>
        <v/>
      </c>
      <c r="L3676" t="inlineStr">
        <is>
          <t>2025-07-10 19:15:03.461 IST</t>
        </is>
      </c>
      <c r="M3676" t="inlineStr">
        <is>
          <t>Soundariya B</t>
        </is>
      </c>
      <c r="N3676" t="inlineStr">
        <is>
          <t>Yes</t>
        </is>
      </c>
      <c r="O3676" t="inlineStr">
        <is>
          <t>Yes</t>
        </is>
      </c>
      <c r="P3676" t="inlineStr">
        <is>
          <t>Soundariya B</t>
        </is>
      </c>
      <c r="Q3676" t="inlineStr">
        <is>
          <t>Bad</t>
        </is>
      </c>
    </row>
    <row r="3677">
      <c r="A3677" t="inlineStr">
        <is>
          <t>vaibhav.v</t>
        </is>
      </c>
      <c r="B3677" t="inlineStr">
        <is>
          <t>Vaibhav Varun</t>
        </is>
      </c>
      <c r="C3677" t="inlineStr">
        <is>
          <t>vaibhav.v@osmosys.co</t>
        </is>
      </c>
      <c r="D3677" t="inlineStr">
        <is>
          <t>incident-reporter</t>
        </is>
      </c>
      <c r="E3677">
        <f>HYPERLINK("http://gitlab.osmosys.co/incident-reporter/incident-reporter-app", "OQSHA Mobile App")</f>
        <v/>
      </c>
      <c r="F3677">
        <f>HYPERLINK("http://gitlab.osmosys.co/incident-reporter/incident-reporter-app/-/merge_requests/1751", "feat: add audit list")</f>
        <v/>
      </c>
      <c r="G3677" t="inlineStr">
        <is>
          <t>feat/audit-list</t>
        </is>
      </c>
      <c r="H3677" t="inlineStr">
        <is>
          <t>sprint-17</t>
        </is>
      </c>
      <c r="I3677" t="inlineStr">
        <is>
          <t>merged</t>
        </is>
      </c>
      <c r="J3677" t="inlineStr">
        <is>
          <t>97d963de07acc478026402edbe180cd7d1ff388f</t>
        </is>
      </c>
      <c r="K3677">
        <f>HYPERLINK("http://gitlab.osmosys.co/incident-reporter/incident-reporter-app/-/merge_requests/1751#note_234669", "done")</f>
        <v/>
      </c>
      <c r="L3677" t="inlineStr">
        <is>
          <t>2025-07-10 23:53:31.291 IST</t>
        </is>
      </c>
      <c r="M3677" t="inlineStr">
        <is>
          <t>Vaibhav Varun</t>
        </is>
      </c>
      <c r="N3677" t="inlineStr">
        <is>
          <t>No</t>
        </is>
      </c>
      <c r="O3677" t="inlineStr">
        <is>
          <t>Yes</t>
        </is>
      </c>
      <c r="P3677" t="inlineStr">
        <is>
          <t>Soundariya B</t>
        </is>
      </c>
      <c r="Q3677" t="inlineStr">
        <is>
          <t>Bad</t>
        </is>
      </c>
    </row>
    <row r="3678">
      <c r="A3678" t="inlineStr">
        <is>
          <t>vaibhav.v</t>
        </is>
      </c>
      <c r="B3678" t="inlineStr">
        <is>
          <t>Vaibhav Varun</t>
        </is>
      </c>
      <c r="C3678" t="inlineStr">
        <is>
          <t>vaibhav.v@osmosys.co</t>
        </is>
      </c>
      <c r="D3678" t="inlineStr">
        <is>
          <t>incident-reporter</t>
        </is>
      </c>
      <c r="E3678">
        <f>HYPERLINK("http://gitlab.osmosys.co/incident-reporter/incident-reporter-app", "OQSHA Mobile App")</f>
        <v/>
      </c>
      <c r="F3678">
        <f>HYPERLINK("http://gitlab.osmosys.co/incident-reporter/incident-reporter-app/-/merge_requests/1751", "feat: add audit list")</f>
        <v/>
      </c>
      <c r="G3678" t="inlineStr">
        <is>
          <t>feat/audit-list</t>
        </is>
      </c>
      <c r="H3678" t="inlineStr">
        <is>
          <t>sprint-17</t>
        </is>
      </c>
      <c r="I3678" t="inlineStr">
        <is>
          <t>merged</t>
        </is>
      </c>
      <c r="J3678" t="inlineStr">
        <is>
          <t>7c48cb60ade75842b7ec84f8cc6e45e2e63c289a</t>
        </is>
      </c>
      <c r="K3678">
        <f>HYPERLINK("http://gitlab.osmosys.co/incident-reporter/incident-reporter-app/-/merge_requests/1751#note_234404", "Error toaster message is missing")</f>
        <v/>
      </c>
      <c r="L3678" t="inlineStr">
        <is>
          <t>2025-07-10 19:15:03.521 IST</t>
        </is>
      </c>
      <c r="M3678" t="inlineStr">
        <is>
          <t>Soundariya B</t>
        </is>
      </c>
      <c r="N3678" t="inlineStr">
        <is>
          <t>Yes</t>
        </is>
      </c>
      <c r="O3678" t="inlineStr">
        <is>
          <t>Yes</t>
        </is>
      </c>
      <c r="P3678" t="inlineStr">
        <is>
          <t>Soundariya B</t>
        </is>
      </c>
      <c r="Q3678" t="inlineStr">
        <is>
          <t>Bad</t>
        </is>
      </c>
    </row>
    <row r="3679">
      <c r="A3679" t="inlineStr">
        <is>
          <t>vaibhav.v</t>
        </is>
      </c>
      <c r="B3679" t="inlineStr">
        <is>
          <t>Vaibhav Varun</t>
        </is>
      </c>
      <c r="C3679" t="inlineStr">
        <is>
          <t>vaibhav.v@osmosys.co</t>
        </is>
      </c>
      <c r="D3679" t="inlineStr">
        <is>
          <t>incident-reporter</t>
        </is>
      </c>
      <c r="E3679">
        <f>HYPERLINK("http://gitlab.osmosys.co/incident-reporter/incident-reporter-app", "OQSHA Mobile App")</f>
        <v/>
      </c>
      <c r="F3679">
        <f>HYPERLINK("http://gitlab.osmosys.co/incident-reporter/incident-reporter-app/-/merge_requests/1751", "feat: add audit list")</f>
        <v/>
      </c>
      <c r="G3679" t="inlineStr">
        <is>
          <t>feat/audit-list</t>
        </is>
      </c>
      <c r="H3679" t="inlineStr">
        <is>
          <t>sprint-17</t>
        </is>
      </c>
      <c r="I3679" t="inlineStr">
        <is>
          <t>merged</t>
        </is>
      </c>
      <c r="J3679" t="inlineStr">
        <is>
          <t>7c48cb60ade75842b7ec84f8cc6e45e2e63c289a</t>
        </is>
      </c>
      <c r="K3679">
        <f>HYPERLINK("http://gitlab.osmosys.co/incident-reporter/incident-reporter-app/-/merge_requests/1751#note_234670", "Added")</f>
        <v/>
      </c>
      <c r="L3679" t="inlineStr">
        <is>
          <t>2025-07-10 23:54:53.512 IST</t>
        </is>
      </c>
      <c r="M3679" t="inlineStr">
        <is>
          <t>Vaibhav Varun</t>
        </is>
      </c>
      <c r="N3679" t="inlineStr">
        <is>
          <t>No</t>
        </is>
      </c>
      <c r="O3679" t="inlineStr">
        <is>
          <t>Yes</t>
        </is>
      </c>
      <c r="P3679" t="inlineStr">
        <is>
          <t>Soundariya B</t>
        </is>
      </c>
      <c r="Q3679" t="inlineStr">
        <is>
          <t>Bad</t>
        </is>
      </c>
    </row>
    <row r="3680">
      <c r="A3680" t="inlineStr">
        <is>
          <t>vaibhav.v</t>
        </is>
      </c>
      <c r="B3680" t="inlineStr">
        <is>
          <t>Vaibhav Varun</t>
        </is>
      </c>
      <c r="C3680" t="inlineStr">
        <is>
          <t>vaibhav.v@osmosys.co</t>
        </is>
      </c>
      <c r="D3680" t="inlineStr">
        <is>
          <t>incident-reporter</t>
        </is>
      </c>
      <c r="E3680">
        <f>HYPERLINK("http://gitlab.osmosys.co/incident-reporter/incident-reporter-app", "OQSHA Mobile App")</f>
        <v/>
      </c>
      <c r="F3680">
        <f>HYPERLINK("http://gitlab.osmosys.co/incident-reporter/incident-reporter-app/-/merge_requests/1751", "feat: add audit list")</f>
        <v/>
      </c>
      <c r="G3680" t="inlineStr">
        <is>
          <t>feat/audit-list</t>
        </is>
      </c>
      <c r="H3680" t="inlineStr">
        <is>
          <t>sprint-17</t>
        </is>
      </c>
      <c r="I3680" t="inlineStr">
        <is>
          <t>merged</t>
        </is>
      </c>
      <c r="J3680" t="inlineStr">
        <is>
          <t>bccc94abdd3b1f9b15dce2318e1cd2e7ce346a70</t>
        </is>
      </c>
      <c r="K3680">
        <f>HYPERLINK("http://gitlab.osmosys.co/incident-reporter/incident-reporter-app/-/merge_requests/1751#note_234405", "Declare the data type")</f>
        <v/>
      </c>
      <c r="L3680" t="inlineStr">
        <is>
          <t>2025-07-10 19:15:03.581 IST</t>
        </is>
      </c>
      <c r="M3680" t="inlineStr">
        <is>
          <t>Soundariya B</t>
        </is>
      </c>
      <c r="N3680" t="inlineStr">
        <is>
          <t>Yes</t>
        </is>
      </c>
      <c r="O3680" t="inlineStr">
        <is>
          <t>Yes</t>
        </is>
      </c>
      <c r="P3680" t="inlineStr">
        <is>
          <t>Soundariya B</t>
        </is>
      </c>
      <c r="Q3680" t="inlineStr">
        <is>
          <t>Bad</t>
        </is>
      </c>
    </row>
    <row r="3681">
      <c r="A3681" t="inlineStr">
        <is>
          <t>vaibhav.v</t>
        </is>
      </c>
      <c r="B3681" t="inlineStr">
        <is>
          <t>Vaibhav Varun</t>
        </is>
      </c>
      <c r="C3681" t="inlineStr">
        <is>
          <t>vaibhav.v@osmosys.co</t>
        </is>
      </c>
      <c r="D3681" t="inlineStr">
        <is>
          <t>incident-reporter</t>
        </is>
      </c>
      <c r="E3681">
        <f>HYPERLINK("http://gitlab.osmosys.co/incident-reporter/incident-reporter-app", "OQSHA Mobile App")</f>
        <v/>
      </c>
      <c r="F3681">
        <f>HYPERLINK("http://gitlab.osmosys.co/incident-reporter/incident-reporter-app/-/merge_requests/1751", "feat: add audit list")</f>
        <v/>
      </c>
      <c r="G3681" t="inlineStr">
        <is>
          <t>feat/audit-list</t>
        </is>
      </c>
      <c r="H3681" t="inlineStr">
        <is>
          <t>sprint-17</t>
        </is>
      </c>
      <c r="I3681" t="inlineStr">
        <is>
          <t>merged</t>
        </is>
      </c>
      <c r="J3681" t="inlineStr">
        <is>
          <t>bccc94abdd3b1f9b15dce2318e1cd2e7ce346a70</t>
        </is>
      </c>
      <c r="K3681">
        <f>HYPERLINK("http://gitlab.osmosys.co/incident-reporter/incident-reporter-app/-/merge_requests/1751#note_234672", "Done")</f>
        <v/>
      </c>
      <c r="L3681" t="inlineStr">
        <is>
          <t>2025-07-10 23:57:26.798 IST</t>
        </is>
      </c>
      <c r="M3681" t="inlineStr">
        <is>
          <t>Vaibhav Varun</t>
        </is>
      </c>
      <c r="N3681" t="inlineStr">
        <is>
          <t>No</t>
        </is>
      </c>
      <c r="O3681" t="inlineStr">
        <is>
          <t>Yes</t>
        </is>
      </c>
      <c r="P3681" t="inlineStr">
        <is>
          <t>Soundariya B</t>
        </is>
      </c>
      <c r="Q3681" t="inlineStr">
        <is>
          <t>Bad</t>
        </is>
      </c>
    </row>
    <row r="3682">
      <c r="A3682" t="inlineStr">
        <is>
          <t>vaibhav.v</t>
        </is>
      </c>
      <c r="B3682" t="inlineStr">
        <is>
          <t>Vaibhav Varun</t>
        </is>
      </c>
      <c r="C3682" t="inlineStr">
        <is>
          <t>vaibhav.v@osmosys.co</t>
        </is>
      </c>
      <c r="D3682" t="inlineStr">
        <is>
          <t>incident-reporter</t>
        </is>
      </c>
      <c r="E3682">
        <f>HYPERLINK("http://gitlab.osmosys.co/incident-reporter/incident-reporter-app", "OQSHA Mobile App")</f>
        <v/>
      </c>
      <c r="F3682">
        <f>HYPERLINK("http://gitlab.osmosys.co/incident-reporter/incident-reporter-app/-/merge_requests/1751", "feat: add audit list")</f>
        <v/>
      </c>
      <c r="G3682" t="inlineStr">
        <is>
          <t>feat/audit-list</t>
        </is>
      </c>
      <c r="H3682" t="inlineStr">
        <is>
          <t>sprint-17</t>
        </is>
      </c>
      <c r="I3682" t="inlineStr">
        <is>
          <t>merged</t>
        </is>
      </c>
      <c r="J3682" t="inlineStr">
        <is>
          <t>864441d0c507cd5f6de726e9e49530b6a5ee7c99</t>
        </is>
      </c>
      <c r="K3682">
        <f>HYPERLINK("http://gitlab.osmosys.co/incident-reporter/incident-reporter-app/-/merge_requests/1751#note_234406", "Take the hardcode value from lang files")</f>
        <v/>
      </c>
      <c r="L3682" t="inlineStr">
        <is>
          <t>2025-07-10 19:15:03.657 IST</t>
        </is>
      </c>
      <c r="M3682" t="inlineStr">
        <is>
          <t>Soundariya B</t>
        </is>
      </c>
      <c r="N3682" t="inlineStr">
        <is>
          <t>Yes</t>
        </is>
      </c>
      <c r="O3682" t="inlineStr">
        <is>
          <t>Yes</t>
        </is>
      </c>
      <c r="P3682" t="inlineStr">
        <is>
          <t>Soundariya B</t>
        </is>
      </c>
      <c r="Q3682" t="inlineStr">
        <is>
          <t>Neutral</t>
        </is>
      </c>
    </row>
    <row r="3683">
      <c r="A3683" t="inlineStr">
        <is>
          <t>vaibhav.v</t>
        </is>
      </c>
      <c r="B3683" t="inlineStr">
        <is>
          <t>Vaibhav Varun</t>
        </is>
      </c>
      <c r="C3683" t="inlineStr">
        <is>
          <t>vaibhav.v@osmosys.co</t>
        </is>
      </c>
      <c r="D3683" t="inlineStr">
        <is>
          <t>incident-reporter</t>
        </is>
      </c>
      <c r="E3683">
        <f>HYPERLINK("http://gitlab.osmosys.co/incident-reporter/incident-reporter-app", "OQSHA Mobile App")</f>
        <v/>
      </c>
      <c r="F3683">
        <f>HYPERLINK("http://gitlab.osmosys.co/incident-reporter/incident-reporter-app/-/merge_requests/1751", "feat: add audit list")</f>
        <v/>
      </c>
      <c r="G3683" t="inlineStr">
        <is>
          <t>feat/audit-list</t>
        </is>
      </c>
      <c r="H3683" t="inlineStr">
        <is>
          <t>sprint-17</t>
        </is>
      </c>
      <c r="I3683" t="inlineStr">
        <is>
          <t>merged</t>
        </is>
      </c>
      <c r="J3683" t="inlineStr">
        <is>
          <t>864441d0c507cd5f6de726e9e49530b6a5ee7c99</t>
        </is>
      </c>
      <c r="K3683">
        <f>HYPERLINK("http://gitlab.osmosys.co/incident-reporter/incident-reporter-app/-/merge_requests/1751#note_234673", "This was not required")</f>
        <v/>
      </c>
      <c r="L3683" t="inlineStr">
        <is>
          <t>2025-07-10 23:58:40.819 IST</t>
        </is>
      </c>
      <c r="M3683" t="inlineStr">
        <is>
          <t>Vaibhav Varun</t>
        </is>
      </c>
      <c r="N3683" t="inlineStr">
        <is>
          <t>No</t>
        </is>
      </c>
      <c r="O3683" t="inlineStr">
        <is>
          <t>Yes</t>
        </is>
      </c>
      <c r="P3683" t="inlineStr">
        <is>
          <t>Soundariya B</t>
        </is>
      </c>
      <c r="Q3683" t="inlineStr">
        <is>
          <t>Neutral</t>
        </is>
      </c>
    </row>
    <row r="3684">
      <c r="A3684" t="inlineStr">
        <is>
          <t>vaibhav.v</t>
        </is>
      </c>
      <c r="B3684" t="inlineStr">
        <is>
          <t>Vaibhav Varun</t>
        </is>
      </c>
      <c r="C3684" t="inlineStr">
        <is>
          <t>vaibhav.v@osmosys.co</t>
        </is>
      </c>
      <c r="D3684" t="inlineStr">
        <is>
          <t>incident-reporter</t>
        </is>
      </c>
      <c r="E3684">
        <f>HYPERLINK("http://gitlab.osmosys.co/incident-reporter/incident-reporter-app", "OQSHA Mobile App")</f>
        <v/>
      </c>
      <c r="F3684">
        <f>HYPERLINK("http://gitlab.osmosys.co/incident-reporter/incident-reporter-app/-/merge_requests/1751", "feat: add audit list")</f>
        <v/>
      </c>
      <c r="G3684" t="inlineStr">
        <is>
          <t>feat/audit-list</t>
        </is>
      </c>
      <c r="H3684" t="inlineStr">
        <is>
          <t>sprint-17</t>
        </is>
      </c>
      <c r="I3684" t="inlineStr">
        <is>
          <t>merged</t>
        </is>
      </c>
      <c r="J3684" t="inlineStr">
        <is>
          <t>912ea1e4acb8e62ee72f868e8990c1410f6f68f2</t>
        </is>
      </c>
      <c r="K3684">
        <f>HYPERLINK("http://gitlab.osmosys.co/incident-reporter/incident-reporter-app/-/merge_requests/1751#note_234407", "Take the hardcode value from lang files")</f>
        <v/>
      </c>
      <c r="L3684" t="inlineStr">
        <is>
          <t>2025-07-10 19:15:03.716 IST</t>
        </is>
      </c>
      <c r="M3684" t="inlineStr">
        <is>
          <t>Soundariya B</t>
        </is>
      </c>
      <c r="N3684" t="inlineStr">
        <is>
          <t>Yes</t>
        </is>
      </c>
      <c r="O3684" t="inlineStr">
        <is>
          <t>Yes</t>
        </is>
      </c>
      <c r="P3684" t="inlineStr">
        <is>
          <t>Soundariya B</t>
        </is>
      </c>
      <c r="Q3684" t="inlineStr">
        <is>
          <t>Bad</t>
        </is>
      </c>
    </row>
    <row r="3685">
      <c r="A3685" t="inlineStr">
        <is>
          <t>vaibhav.v</t>
        </is>
      </c>
      <c r="B3685" t="inlineStr">
        <is>
          <t>Vaibhav Varun</t>
        </is>
      </c>
      <c r="C3685" t="inlineStr">
        <is>
          <t>vaibhav.v@osmosys.co</t>
        </is>
      </c>
      <c r="D3685" t="inlineStr">
        <is>
          <t>incident-reporter</t>
        </is>
      </c>
      <c r="E3685">
        <f>HYPERLINK("http://gitlab.osmosys.co/incident-reporter/incident-reporter-app", "OQSHA Mobile App")</f>
        <v/>
      </c>
      <c r="F3685">
        <f>HYPERLINK("http://gitlab.osmosys.co/incident-reporter/incident-reporter-app/-/merge_requests/1751", "feat: add audit list")</f>
        <v/>
      </c>
      <c r="G3685" t="inlineStr">
        <is>
          <t>feat/audit-list</t>
        </is>
      </c>
      <c r="H3685" t="inlineStr">
        <is>
          <t>sprint-17</t>
        </is>
      </c>
      <c r="I3685" t="inlineStr">
        <is>
          <t>merged</t>
        </is>
      </c>
      <c r="J3685" t="inlineStr">
        <is>
          <t>e8293a1b9ec15b07167a874907c388f1c5fba77f</t>
        </is>
      </c>
      <c r="K3685">
        <f>HYPERLINK("http://gitlab.osmosys.co/incident-reporter/incident-reporter-app/-/merge_requests/1751#note_234408", "Take the hardcode value from lang files")</f>
        <v/>
      </c>
      <c r="L3685" t="inlineStr">
        <is>
          <t>2025-07-10 19:15:03.773 IST</t>
        </is>
      </c>
      <c r="M3685" t="inlineStr">
        <is>
          <t>Soundariya B</t>
        </is>
      </c>
      <c r="N3685" t="inlineStr">
        <is>
          <t>Yes</t>
        </is>
      </c>
      <c r="O3685" t="inlineStr">
        <is>
          <t>Yes</t>
        </is>
      </c>
      <c r="P3685" t="inlineStr">
        <is>
          <t>Soundariya B</t>
        </is>
      </c>
      <c r="Q3685" t="inlineStr">
        <is>
          <t>Bad</t>
        </is>
      </c>
    </row>
    <row r="3686">
      <c r="A3686" t="inlineStr">
        <is>
          <t>vaibhav.v</t>
        </is>
      </c>
      <c r="B3686" t="inlineStr">
        <is>
          <t>Vaibhav Varun</t>
        </is>
      </c>
      <c r="C3686" t="inlineStr">
        <is>
          <t>vaibhav.v@osmosys.co</t>
        </is>
      </c>
      <c r="D3686" t="inlineStr">
        <is>
          <t>incident-reporter</t>
        </is>
      </c>
      <c r="E3686">
        <f>HYPERLINK("http://gitlab.osmosys.co/incident-reporter/incident-reporter-app", "OQSHA Mobile App")</f>
        <v/>
      </c>
      <c r="F3686">
        <f>HYPERLINK("http://gitlab.osmosys.co/incident-reporter/incident-reporter-app/-/merge_requests/1751", "feat: add audit list")</f>
        <v/>
      </c>
      <c r="G3686" t="inlineStr">
        <is>
          <t>feat/audit-list</t>
        </is>
      </c>
      <c r="H3686" t="inlineStr">
        <is>
          <t>sprint-17</t>
        </is>
      </c>
      <c r="I3686" t="inlineStr">
        <is>
          <t>merged</t>
        </is>
      </c>
      <c r="J3686" t="inlineStr">
        <is>
          <t>c8226673139ef264d7279921fee215fa10778e96</t>
        </is>
      </c>
      <c r="K3686">
        <f>HYPERLINK("http://gitlab.osmosys.co/incident-reporter/incident-reporter-app/-/merge_requests/1751#note_234409", "Take the hardcode value from lang files")</f>
        <v/>
      </c>
      <c r="L3686" t="inlineStr">
        <is>
          <t>2025-07-10 19:15:03.828 IST</t>
        </is>
      </c>
      <c r="M3686" t="inlineStr">
        <is>
          <t>Soundariya B</t>
        </is>
      </c>
      <c r="N3686" t="inlineStr">
        <is>
          <t>Yes</t>
        </is>
      </c>
      <c r="O3686" t="inlineStr">
        <is>
          <t>Yes</t>
        </is>
      </c>
      <c r="P3686" t="inlineStr">
        <is>
          <t>Soundariya B</t>
        </is>
      </c>
      <c r="Q3686" t="inlineStr">
        <is>
          <t>Neutral</t>
        </is>
      </c>
    </row>
    <row r="3687">
      <c r="A3687" t="inlineStr">
        <is>
          <t>vaibhav.v</t>
        </is>
      </c>
      <c r="B3687" t="inlineStr">
        <is>
          <t>Vaibhav Varun</t>
        </is>
      </c>
      <c r="C3687" t="inlineStr">
        <is>
          <t>vaibhav.v@osmosys.co</t>
        </is>
      </c>
      <c r="D3687" t="inlineStr">
        <is>
          <t>incident-reporter</t>
        </is>
      </c>
      <c r="E3687">
        <f>HYPERLINK("http://gitlab.osmosys.co/incident-reporter/incident-reporter-app", "OQSHA Mobile App")</f>
        <v/>
      </c>
      <c r="F3687">
        <f>HYPERLINK("http://gitlab.osmosys.co/incident-reporter/incident-reporter-app/-/merge_requests/1751", "feat: add audit list")</f>
        <v/>
      </c>
      <c r="G3687" t="inlineStr">
        <is>
          <t>feat/audit-list</t>
        </is>
      </c>
      <c r="H3687" t="inlineStr">
        <is>
          <t>sprint-17</t>
        </is>
      </c>
      <c r="I3687" t="inlineStr">
        <is>
          <t>merged</t>
        </is>
      </c>
      <c r="J3687" t="inlineStr">
        <is>
          <t>c8226673139ef264d7279921fee215fa10778e96</t>
        </is>
      </c>
      <c r="K3687">
        <f>HYPERLINK("http://gitlab.osmosys.co/incident-reporter/incident-reporter-app/-/merge_requests/1751#note_234674", "This was not required")</f>
        <v/>
      </c>
      <c r="L3687" t="inlineStr">
        <is>
          <t>2025-07-10 23:58:59.321 IST</t>
        </is>
      </c>
      <c r="M3687" t="inlineStr">
        <is>
          <t>Vaibhav Varun</t>
        </is>
      </c>
      <c r="N3687" t="inlineStr">
        <is>
          <t>No</t>
        </is>
      </c>
      <c r="O3687" t="inlineStr">
        <is>
          <t>Yes</t>
        </is>
      </c>
      <c r="P3687" t="inlineStr">
        <is>
          <t>Soundariya B</t>
        </is>
      </c>
      <c r="Q3687" t="inlineStr">
        <is>
          <t>Neutral</t>
        </is>
      </c>
    </row>
    <row r="3688">
      <c r="A3688" t="inlineStr">
        <is>
          <t>vaibhav.v</t>
        </is>
      </c>
      <c r="B3688" t="inlineStr">
        <is>
          <t>Vaibhav Varun</t>
        </is>
      </c>
      <c r="C3688" t="inlineStr">
        <is>
          <t>vaibhav.v@osmosys.co</t>
        </is>
      </c>
      <c r="D3688" t="inlineStr">
        <is>
          <t>incident-reporter</t>
        </is>
      </c>
      <c r="E3688">
        <f>HYPERLINK("http://gitlab.osmosys.co/incident-reporter/incident-reporter-app", "OQSHA Mobile App")</f>
        <v/>
      </c>
      <c r="F3688">
        <f>HYPERLINK("http://gitlab.osmosys.co/incident-reporter/incident-reporter-app/-/merge_requests/1751", "feat: add audit list")</f>
        <v/>
      </c>
      <c r="G3688" t="inlineStr">
        <is>
          <t>feat/audit-list</t>
        </is>
      </c>
      <c r="H3688" t="inlineStr">
        <is>
          <t>sprint-17</t>
        </is>
      </c>
      <c r="I3688" t="inlineStr">
        <is>
          <t>merged</t>
        </is>
      </c>
      <c r="J3688" t="inlineStr">
        <is>
          <t>5b360bfff62d6a4e6b459cfdcda27576b09ea9ee</t>
        </is>
      </c>
      <c r="K3688">
        <f>HYPERLINK("http://gitlab.osmosys.co/incident-reporter/incident-reporter-app/-/merge_requests/1751#note_234410", "If you are using the header tags then please don't manipulate the font-size and style because they have itself in-built styles so that's why it name as h1, h3 etc so if you want specific title styling then use another element")</f>
        <v/>
      </c>
      <c r="L3688" t="inlineStr">
        <is>
          <t>2025-07-10 19:15:03.885 IST</t>
        </is>
      </c>
      <c r="M3688" t="inlineStr">
        <is>
          <t>Soundariya B</t>
        </is>
      </c>
      <c r="N3688" t="inlineStr">
        <is>
          <t>Yes</t>
        </is>
      </c>
      <c r="O3688" t="inlineStr">
        <is>
          <t>Yes</t>
        </is>
      </c>
      <c r="P3688" t="inlineStr">
        <is>
          <t>Soundariya B</t>
        </is>
      </c>
      <c r="Q3688" t="inlineStr">
        <is>
          <t>Bad</t>
        </is>
      </c>
    </row>
    <row r="3689">
      <c r="A3689" t="inlineStr">
        <is>
          <t>vaibhav.v</t>
        </is>
      </c>
      <c r="B3689" t="inlineStr">
        <is>
          <t>Vaibhav Varun</t>
        </is>
      </c>
      <c r="C3689" t="inlineStr">
        <is>
          <t>vaibhav.v@osmosys.co</t>
        </is>
      </c>
      <c r="D3689" t="inlineStr">
        <is>
          <t>incident-reporter</t>
        </is>
      </c>
      <c r="E3689">
        <f>HYPERLINK("http://gitlab.osmosys.co/incident-reporter/incident-reporter-app", "OQSHA Mobile App")</f>
        <v/>
      </c>
      <c r="F3689">
        <f>HYPERLINK("http://gitlab.osmosys.co/incident-reporter/incident-reporter-app/-/merge_requests/1751", "feat: add audit list")</f>
        <v/>
      </c>
      <c r="G3689" t="inlineStr">
        <is>
          <t>feat/audit-list</t>
        </is>
      </c>
      <c r="H3689" t="inlineStr">
        <is>
          <t>sprint-17</t>
        </is>
      </c>
      <c r="I3689" t="inlineStr">
        <is>
          <t>merged</t>
        </is>
      </c>
      <c r="J3689" t="inlineStr">
        <is>
          <t>5b360bfff62d6a4e6b459cfdcda27576b09ea9ee</t>
        </is>
      </c>
      <c r="K3689">
        <f>HYPERLINK("http://gitlab.osmosys.co/incident-reporter/incident-reporter-app/-/merge_requests/1751#note_234682", "Changed")</f>
        <v/>
      </c>
      <c r="L3689" t="inlineStr">
        <is>
          <t>2025-07-11 00:00:46.518 IST</t>
        </is>
      </c>
      <c r="M3689" t="inlineStr">
        <is>
          <t>Vaibhav Varun</t>
        </is>
      </c>
      <c r="N3689" t="inlineStr">
        <is>
          <t>No</t>
        </is>
      </c>
      <c r="O3689" t="inlineStr">
        <is>
          <t>Yes</t>
        </is>
      </c>
      <c r="P3689" t="inlineStr">
        <is>
          <t>Soundariya B</t>
        </is>
      </c>
      <c r="Q3689" t="inlineStr">
        <is>
          <t>Bad</t>
        </is>
      </c>
    </row>
    <row r="3690">
      <c r="A3690" t="inlineStr">
        <is>
          <t>vaibhav.v</t>
        </is>
      </c>
      <c r="B3690" t="inlineStr">
        <is>
          <t>Vaibhav Varun</t>
        </is>
      </c>
      <c r="C3690" t="inlineStr">
        <is>
          <t>vaibhav.v@osmosys.co</t>
        </is>
      </c>
      <c r="D3690" t="inlineStr">
        <is>
          <t>incident-reporter</t>
        </is>
      </c>
      <c r="E3690">
        <f>HYPERLINK("http://gitlab.osmosys.co/incident-reporter/incident-reporter-app", "OQSHA Mobile App")</f>
        <v/>
      </c>
      <c r="F3690">
        <f>HYPERLINK("http://gitlab.osmosys.co/incident-reporter/incident-reporter-app/-/merge_requests/1751", "feat: add audit list")</f>
        <v/>
      </c>
      <c r="G3690" t="inlineStr">
        <is>
          <t>feat/audit-list</t>
        </is>
      </c>
      <c r="H3690" t="inlineStr">
        <is>
          <t>sprint-17</t>
        </is>
      </c>
      <c r="I3690" t="inlineStr">
        <is>
          <t>merged</t>
        </is>
      </c>
      <c r="J3690" t="inlineStr">
        <is>
          <t>c743e5172221517321121ae4512f465a6bf7e250</t>
        </is>
      </c>
      <c r="K3690">
        <f>HYPERLINK("http://gitlab.osmosys.co/incident-reporter/incident-reporter-app/-/merge_requests/1751#note_234411", "Take the hardcode value from lang files")</f>
        <v/>
      </c>
      <c r="L3690" t="inlineStr">
        <is>
          <t>2025-07-10 19:15:03.940 IST</t>
        </is>
      </c>
      <c r="M3690" t="inlineStr">
        <is>
          <t>Soundariya B</t>
        </is>
      </c>
      <c r="N3690" t="inlineStr">
        <is>
          <t>Yes</t>
        </is>
      </c>
      <c r="O3690" t="inlineStr">
        <is>
          <t>Yes</t>
        </is>
      </c>
      <c r="P3690" t="inlineStr">
        <is>
          <t>Soundariya B</t>
        </is>
      </c>
      <c r="Q3690" t="inlineStr">
        <is>
          <t>Bad</t>
        </is>
      </c>
    </row>
    <row r="3691">
      <c r="A3691" t="inlineStr">
        <is>
          <t>vaibhav.v</t>
        </is>
      </c>
      <c r="B3691" t="inlineStr">
        <is>
          <t>Vaibhav Varun</t>
        </is>
      </c>
      <c r="C3691" t="inlineStr">
        <is>
          <t>vaibhav.v@osmosys.co</t>
        </is>
      </c>
      <c r="D3691" t="inlineStr">
        <is>
          <t>incident-reporter</t>
        </is>
      </c>
      <c r="E3691">
        <f>HYPERLINK("http://gitlab.osmosys.co/incident-reporter/incident-reporter-app", "OQSHA Mobile App")</f>
        <v/>
      </c>
      <c r="F3691">
        <f>HYPERLINK("http://gitlab.osmosys.co/incident-reporter/incident-reporter-app/-/merge_requests/1751", "feat: add audit list")</f>
        <v/>
      </c>
      <c r="G3691" t="inlineStr">
        <is>
          <t>feat/audit-list</t>
        </is>
      </c>
      <c r="H3691" t="inlineStr">
        <is>
          <t>sprint-17</t>
        </is>
      </c>
      <c r="I3691" t="inlineStr">
        <is>
          <t>merged</t>
        </is>
      </c>
      <c r="J3691" t="inlineStr">
        <is>
          <t>c743e5172221517321121ae4512f465a6bf7e250</t>
        </is>
      </c>
      <c r="K3691">
        <f>HYPERLINK("http://gitlab.osmosys.co/incident-reporter/incident-reporter-app/-/merge_requests/1751#note_234684", "Changed")</f>
        <v/>
      </c>
      <c r="L3691" t="inlineStr">
        <is>
          <t>2025-07-11 00:01:30.112 IST</t>
        </is>
      </c>
      <c r="M3691" t="inlineStr">
        <is>
          <t>Vaibhav Varun</t>
        </is>
      </c>
      <c r="N3691" t="inlineStr">
        <is>
          <t>No</t>
        </is>
      </c>
      <c r="O3691" t="inlineStr">
        <is>
          <t>Yes</t>
        </is>
      </c>
      <c r="P3691" t="inlineStr">
        <is>
          <t>Soundariya B</t>
        </is>
      </c>
      <c r="Q3691" t="inlineStr">
        <is>
          <t>Bad</t>
        </is>
      </c>
    </row>
    <row r="3692">
      <c r="A3692" t="inlineStr">
        <is>
          <t>vaibhav.v</t>
        </is>
      </c>
      <c r="B3692" t="inlineStr">
        <is>
          <t>Vaibhav Varun</t>
        </is>
      </c>
      <c r="C3692" t="inlineStr">
        <is>
          <t>vaibhav.v@osmosys.co</t>
        </is>
      </c>
      <c r="D3692" t="inlineStr">
        <is>
          <t>incident-reporter</t>
        </is>
      </c>
      <c r="E3692">
        <f>HYPERLINK("http://gitlab.osmosys.co/incident-reporter/incident-reporter-app", "OQSHA Mobile App")</f>
        <v/>
      </c>
      <c r="F3692">
        <f>HYPERLINK("http://gitlab.osmosys.co/incident-reporter/incident-reporter-app/-/merge_requests/1751", "feat: add audit list")</f>
        <v/>
      </c>
      <c r="G3692" t="inlineStr">
        <is>
          <t>feat/audit-list</t>
        </is>
      </c>
      <c r="H3692" t="inlineStr">
        <is>
          <t>sprint-17</t>
        </is>
      </c>
      <c r="I3692" t="inlineStr">
        <is>
          <t>merged</t>
        </is>
      </c>
      <c r="J3692" t="inlineStr">
        <is>
          <t>b70ee154c5bbaa47c132e73a74fbbdbcbc59dff3</t>
        </is>
      </c>
      <c r="K3692">
        <f>HYPERLINK("http://gitlab.osmosys.co/incident-reporter/incident-reporter-app/-/merge_requests/1751#note_234412", "Not recommended")</f>
        <v/>
      </c>
      <c r="L3692" t="inlineStr">
        <is>
          <t>2025-07-10 19:15:04.014 IST</t>
        </is>
      </c>
      <c r="M3692" t="inlineStr">
        <is>
          <t>Soundariya B</t>
        </is>
      </c>
      <c r="N3692" t="inlineStr">
        <is>
          <t>Yes</t>
        </is>
      </c>
      <c r="O3692" t="inlineStr">
        <is>
          <t>Yes</t>
        </is>
      </c>
      <c r="P3692" t="inlineStr">
        <is>
          <t>Soundariya B</t>
        </is>
      </c>
      <c r="Q3692" t="inlineStr">
        <is>
          <t>Bad</t>
        </is>
      </c>
    </row>
    <row r="3693">
      <c r="A3693" t="inlineStr">
        <is>
          <t>vaibhav.v</t>
        </is>
      </c>
      <c r="B3693" t="inlineStr">
        <is>
          <t>Vaibhav Varun</t>
        </is>
      </c>
      <c r="C3693" t="inlineStr">
        <is>
          <t>vaibhav.v@osmosys.co</t>
        </is>
      </c>
      <c r="D3693" t="inlineStr">
        <is>
          <t>incident-reporter</t>
        </is>
      </c>
      <c r="E3693">
        <f>HYPERLINK("http://gitlab.osmosys.co/incident-reporter/incident-reporter-app", "OQSHA Mobile App")</f>
        <v/>
      </c>
      <c r="F3693">
        <f>HYPERLINK("http://gitlab.osmosys.co/incident-reporter/incident-reporter-app/-/merge_requests/1751", "feat: add audit list")</f>
        <v/>
      </c>
      <c r="G3693" t="inlineStr">
        <is>
          <t>feat/audit-list</t>
        </is>
      </c>
      <c r="H3693" t="inlineStr">
        <is>
          <t>sprint-17</t>
        </is>
      </c>
      <c r="I3693" t="inlineStr">
        <is>
          <t>merged</t>
        </is>
      </c>
      <c r="J3693" t="inlineStr">
        <is>
          <t>b70ee154c5bbaa47c132e73a74fbbdbcbc59dff3</t>
        </is>
      </c>
      <c r="K3693">
        <f>HYPERLINK("http://gitlab.osmosys.co/incident-reporter/incident-reporter-app/-/merge_requests/1751#note_234685", "Changed")</f>
        <v/>
      </c>
      <c r="L3693" t="inlineStr">
        <is>
          <t>2025-07-11 00:01:59.405 IST</t>
        </is>
      </c>
      <c r="M3693" t="inlineStr">
        <is>
          <t>Vaibhav Varun</t>
        </is>
      </c>
      <c r="N3693" t="inlineStr">
        <is>
          <t>No</t>
        </is>
      </c>
      <c r="O3693" t="inlineStr">
        <is>
          <t>Yes</t>
        </is>
      </c>
      <c r="P3693" t="inlineStr">
        <is>
          <t>Soundariya B</t>
        </is>
      </c>
      <c r="Q3693" t="inlineStr">
        <is>
          <t>Bad</t>
        </is>
      </c>
    </row>
    <row r="3694">
      <c r="A3694" t="inlineStr">
        <is>
          <t>vaibhav.v</t>
        </is>
      </c>
      <c r="B3694" t="inlineStr">
        <is>
          <t>Vaibhav Varun</t>
        </is>
      </c>
      <c r="C3694" t="inlineStr">
        <is>
          <t>vaibhav.v@osmosys.co</t>
        </is>
      </c>
      <c r="D3694" t="inlineStr">
        <is>
          <t>incident-reporter</t>
        </is>
      </c>
      <c r="E3694">
        <f>HYPERLINK("http://gitlab.osmosys.co/incident-reporter/incident-reporter-app", "OQSHA Mobile App")</f>
        <v/>
      </c>
      <c r="F3694">
        <f>HYPERLINK("http://gitlab.osmosys.co/incident-reporter/incident-reporter-app/-/merge_requests/1751", "feat: add audit list")</f>
        <v/>
      </c>
      <c r="G3694" t="inlineStr">
        <is>
          <t>feat/audit-list</t>
        </is>
      </c>
      <c r="H3694" t="inlineStr">
        <is>
          <t>sprint-17</t>
        </is>
      </c>
      <c r="I3694" t="inlineStr">
        <is>
          <t>merged</t>
        </is>
      </c>
      <c r="J3694" t="inlineStr">
        <is>
          <t>26ed0d1ac19db1a43a8ee407eb2797f76fa2cb01</t>
        </is>
      </c>
      <c r="K3694">
        <f>HYPERLINK("http://gitlab.osmosys.co/incident-reporter/incident-reporter-app/-/merge_requests/1751#note_234413", "Avoid to use negative values")</f>
        <v/>
      </c>
      <c r="L3694" t="inlineStr">
        <is>
          <t>2025-07-10 19:15:04.068 IST</t>
        </is>
      </c>
      <c r="M3694" t="inlineStr">
        <is>
          <t>Soundariya B</t>
        </is>
      </c>
      <c r="N3694" t="inlineStr">
        <is>
          <t>Yes</t>
        </is>
      </c>
      <c r="O3694" t="inlineStr">
        <is>
          <t>Yes</t>
        </is>
      </c>
      <c r="P3694" t="inlineStr">
        <is>
          <t>Soundariya B</t>
        </is>
      </c>
      <c r="Q3694" t="inlineStr">
        <is>
          <t>Neutral</t>
        </is>
      </c>
    </row>
    <row r="3695">
      <c r="A3695" t="inlineStr">
        <is>
          <t>vaibhav.v</t>
        </is>
      </c>
      <c r="B3695" t="inlineStr">
        <is>
          <t>Vaibhav Varun</t>
        </is>
      </c>
      <c r="C3695" t="inlineStr">
        <is>
          <t>vaibhav.v@osmosys.co</t>
        </is>
      </c>
      <c r="D3695" t="inlineStr">
        <is>
          <t>incident-reporter</t>
        </is>
      </c>
      <c r="E3695">
        <f>HYPERLINK("http://gitlab.osmosys.co/incident-reporter/incident-reporter-app", "OQSHA Mobile App")</f>
        <v/>
      </c>
      <c r="F3695">
        <f>HYPERLINK("http://gitlab.osmosys.co/incident-reporter/incident-reporter-app/-/merge_requests/1751", "feat: add audit list")</f>
        <v/>
      </c>
      <c r="G3695" t="inlineStr">
        <is>
          <t>feat/audit-list</t>
        </is>
      </c>
      <c r="H3695" t="inlineStr">
        <is>
          <t>sprint-17</t>
        </is>
      </c>
      <c r="I3695" t="inlineStr">
        <is>
          <t>merged</t>
        </is>
      </c>
      <c r="J3695" t="inlineStr">
        <is>
          <t>26ed0d1ac19db1a43a8ee407eb2797f76fa2cb01</t>
        </is>
      </c>
      <c r="K3695">
        <f>HYPERLINK("http://gitlab.osmosys.co/incident-reporter/incident-reporter-app/-/merge_requests/1751#note_234686", "Will do but here its intentional and is everywhere throughout the app")</f>
        <v/>
      </c>
      <c r="L3695" t="inlineStr">
        <is>
          <t>2025-07-11 00:02:37.377 IST</t>
        </is>
      </c>
      <c r="M3695" t="inlineStr">
        <is>
          <t>Vaibhav Varun</t>
        </is>
      </c>
      <c r="N3695" t="inlineStr">
        <is>
          <t>No</t>
        </is>
      </c>
      <c r="O3695" t="inlineStr">
        <is>
          <t>Yes</t>
        </is>
      </c>
      <c r="P3695" t="inlineStr">
        <is>
          <t>Soundariya B</t>
        </is>
      </c>
      <c r="Q3695" t="inlineStr">
        <is>
          <t>Neutral</t>
        </is>
      </c>
    </row>
    <row r="3696">
      <c r="A3696" t="inlineStr">
        <is>
          <t>vaibhav.v</t>
        </is>
      </c>
      <c r="B3696" t="inlineStr">
        <is>
          <t>Vaibhav Varun</t>
        </is>
      </c>
      <c r="C3696" t="inlineStr">
        <is>
          <t>vaibhav.v@osmosys.co</t>
        </is>
      </c>
      <c r="D3696" t="inlineStr">
        <is>
          <t>incident-reporter</t>
        </is>
      </c>
      <c r="E3696">
        <f>HYPERLINK("http://gitlab.osmosys.co/incident-reporter/incident-reporter-app", "OQSHA Mobile App")</f>
        <v/>
      </c>
      <c r="F3696">
        <f>HYPERLINK("http://gitlab.osmosys.co/incident-reporter/incident-reporter-app/-/merge_requests/1751", "feat: add audit list")</f>
        <v/>
      </c>
      <c r="G3696" t="inlineStr">
        <is>
          <t>feat/audit-list</t>
        </is>
      </c>
      <c r="H3696" t="inlineStr">
        <is>
          <t>sprint-17</t>
        </is>
      </c>
      <c r="I3696" t="inlineStr">
        <is>
          <t>merged</t>
        </is>
      </c>
      <c r="J3696" t="inlineStr">
        <is>
          <t>cc049256025fc13352cdaf11c853b1f6602c4a89</t>
        </is>
      </c>
      <c r="K3696">
        <f>HYPERLINK("http://gitlab.osmosys.co/incident-reporter/incident-reporter-app/-/merge_requests/1751#note_234414", "Remove !important")</f>
        <v/>
      </c>
      <c r="L3696" t="inlineStr">
        <is>
          <t>2025-07-10 19:15:04.144 IST</t>
        </is>
      </c>
      <c r="M3696" t="inlineStr">
        <is>
          <t>Soundariya B</t>
        </is>
      </c>
      <c r="N3696" t="inlineStr">
        <is>
          <t>Yes</t>
        </is>
      </c>
      <c r="O3696" t="inlineStr">
        <is>
          <t>Yes</t>
        </is>
      </c>
      <c r="P3696" t="inlineStr">
        <is>
          <t>Soundariya B</t>
        </is>
      </c>
      <c r="Q3696" t="inlineStr">
        <is>
          <t>Bad</t>
        </is>
      </c>
    </row>
    <row r="3697">
      <c r="A3697" t="inlineStr">
        <is>
          <t>vaibhav.v</t>
        </is>
      </c>
      <c r="B3697" t="inlineStr">
        <is>
          <t>Vaibhav Varun</t>
        </is>
      </c>
      <c r="C3697" t="inlineStr">
        <is>
          <t>vaibhav.v@osmosys.co</t>
        </is>
      </c>
      <c r="D3697" t="inlineStr">
        <is>
          <t>incident-reporter</t>
        </is>
      </c>
      <c r="E3697">
        <f>HYPERLINK("http://gitlab.osmosys.co/incident-reporter/incident-reporter-app", "OQSHA Mobile App")</f>
        <v/>
      </c>
      <c r="F3697">
        <f>HYPERLINK("http://gitlab.osmosys.co/incident-reporter/incident-reporter-app/-/merge_requests/1751", "feat: add audit list")</f>
        <v/>
      </c>
      <c r="G3697" t="inlineStr">
        <is>
          <t>feat/audit-list</t>
        </is>
      </c>
      <c r="H3697" t="inlineStr">
        <is>
          <t>sprint-17</t>
        </is>
      </c>
      <c r="I3697" t="inlineStr">
        <is>
          <t>merged</t>
        </is>
      </c>
      <c r="J3697" t="inlineStr">
        <is>
          <t>cc049256025fc13352cdaf11c853b1f6602c4a89</t>
        </is>
      </c>
      <c r="K3697">
        <f>HYPERLINK("http://gitlab.osmosys.co/incident-reporter/incident-reporter-app/-/merge_requests/1751#note_234688", "Changed")</f>
        <v/>
      </c>
      <c r="L3697" t="inlineStr">
        <is>
          <t>2025-07-11 00:03:47.521 IST</t>
        </is>
      </c>
      <c r="M3697" t="inlineStr">
        <is>
          <t>Vaibhav Varun</t>
        </is>
      </c>
      <c r="N3697" t="inlineStr">
        <is>
          <t>No</t>
        </is>
      </c>
      <c r="O3697" t="inlineStr">
        <is>
          <t>Yes</t>
        </is>
      </c>
      <c r="P3697" t="inlineStr">
        <is>
          <t>Soundariya B</t>
        </is>
      </c>
      <c r="Q3697" t="inlineStr">
        <is>
          <t>Bad</t>
        </is>
      </c>
    </row>
    <row r="3698">
      <c r="A3698" t="inlineStr">
        <is>
          <t>vaibhav.v</t>
        </is>
      </c>
      <c r="B3698" t="inlineStr">
        <is>
          <t>Vaibhav Varun</t>
        </is>
      </c>
      <c r="C3698" t="inlineStr">
        <is>
          <t>vaibhav.v@osmosys.co</t>
        </is>
      </c>
      <c r="D3698" t="inlineStr">
        <is>
          <t>incident-reporter</t>
        </is>
      </c>
      <c r="E3698">
        <f>HYPERLINK("http://gitlab.osmosys.co/incident-reporter/incident-reporter-app", "OQSHA Mobile App")</f>
        <v/>
      </c>
      <c r="F3698">
        <f>HYPERLINK("http://gitlab.osmosys.co/incident-reporter/incident-reporter-app/-/merge_requests/1751", "feat: add audit list")</f>
        <v/>
      </c>
      <c r="G3698" t="inlineStr">
        <is>
          <t>feat/audit-list</t>
        </is>
      </c>
      <c r="H3698" t="inlineStr">
        <is>
          <t>sprint-17</t>
        </is>
      </c>
      <c r="I3698" t="inlineStr">
        <is>
          <t>merged</t>
        </is>
      </c>
      <c r="J3698" t="inlineStr">
        <is>
          <t>49385768f142a45546e5bcc28369d423197b48c3</t>
        </is>
      </c>
      <c r="K3698">
        <f>HYPERLINK("http://gitlab.osmosys.co/incident-reporter/incident-reporter-app/-/merge_requests/1751#note_234415", "Not recommended")</f>
        <v/>
      </c>
      <c r="L3698" t="inlineStr">
        <is>
          <t>2025-07-10 19:15:04.201 IST</t>
        </is>
      </c>
      <c r="M3698" t="inlineStr">
        <is>
          <t>Soundariya B</t>
        </is>
      </c>
      <c r="N3698" t="inlineStr">
        <is>
          <t>Yes</t>
        </is>
      </c>
      <c r="O3698" t="inlineStr">
        <is>
          <t>Yes</t>
        </is>
      </c>
      <c r="P3698" t="inlineStr">
        <is>
          <t>Soundariya B</t>
        </is>
      </c>
      <c r="Q3698" t="inlineStr">
        <is>
          <t>Bad</t>
        </is>
      </c>
    </row>
    <row r="3699">
      <c r="A3699" t="inlineStr">
        <is>
          <t>vaibhav.v</t>
        </is>
      </c>
      <c r="B3699" t="inlineStr">
        <is>
          <t>Vaibhav Varun</t>
        </is>
      </c>
      <c r="C3699" t="inlineStr">
        <is>
          <t>vaibhav.v@osmosys.co</t>
        </is>
      </c>
      <c r="D3699" t="inlineStr">
        <is>
          <t>incident-reporter</t>
        </is>
      </c>
      <c r="E3699">
        <f>HYPERLINK("http://gitlab.osmosys.co/incident-reporter/incident-reporter-app", "OQSHA Mobile App")</f>
        <v/>
      </c>
      <c r="F3699">
        <f>HYPERLINK("http://gitlab.osmosys.co/incident-reporter/incident-reporter-app/-/merge_requests/1751", "feat: add audit list")</f>
        <v/>
      </c>
      <c r="G3699" t="inlineStr">
        <is>
          <t>feat/audit-list</t>
        </is>
      </c>
      <c r="H3699" t="inlineStr">
        <is>
          <t>sprint-17</t>
        </is>
      </c>
      <c r="I3699" t="inlineStr">
        <is>
          <t>merged</t>
        </is>
      </c>
      <c r="J3699" t="inlineStr">
        <is>
          <t>49385768f142a45546e5bcc28369d423197b48c3</t>
        </is>
      </c>
      <c r="K3699">
        <f>HYPERLINK("http://gitlab.osmosys.co/incident-reporter/incident-reporter-app/-/merge_requests/1751#note_234690", "Changed")</f>
        <v/>
      </c>
      <c r="L3699" t="inlineStr">
        <is>
          <t>2025-07-11 00:04:20.770 IST</t>
        </is>
      </c>
      <c r="M3699" t="inlineStr">
        <is>
          <t>Vaibhav Varun</t>
        </is>
      </c>
      <c r="N3699" t="inlineStr">
        <is>
          <t>No</t>
        </is>
      </c>
      <c r="O3699" t="inlineStr">
        <is>
          <t>Yes</t>
        </is>
      </c>
      <c r="P3699" t="inlineStr">
        <is>
          <t>Soundariya B</t>
        </is>
      </c>
      <c r="Q3699" t="inlineStr">
        <is>
          <t>Bad</t>
        </is>
      </c>
    </row>
    <row r="3700">
      <c r="A3700" t="inlineStr">
        <is>
          <t>vaibhav.v</t>
        </is>
      </c>
      <c r="B3700" t="inlineStr">
        <is>
          <t>Vaibhav Varun</t>
        </is>
      </c>
      <c r="C3700" t="inlineStr">
        <is>
          <t>vaibhav.v@osmosys.co</t>
        </is>
      </c>
      <c r="D3700" t="inlineStr">
        <is>
          <t>incident-reporter</t>
        </is>
      </c>
      <c r="E3700">
        <f>HYPERLINK("http://gitlab.osmosys.co/incident-reporter/incident-reporter-app", "OQSHA Mobile App")</f>
        <v/>
      </c>
      <c r="F3700">
        <f>HYPERLINK("http://gitlab.osmosys.co/incident-reporter/incident-reporter-app/-/merge_requests/1751", "feat: add audit list")</f>
        <v/>
      </c>
      <c r="G3700" t="inlineStr">
        <is>
          <t>feat/audit-list</t>
        </is>
      </c>
      <c r="H3700" t="inlineStr">
        <is>
          <t>sprint-17</t>
        </is>
      </c>
      <c r="I3700" t="inlineStr">
        <is>
          <t>merged</t>
        </is>
      </c>
      <c r="J3700" t="inlineStr">
        <is>
          <t>7778ff6e3f87af24cc36f440ceec4c97be7d4991</t>
        </is>
      </c>
      <c r="K3700">
        <f>HYPERLINK("http://gitlab.osmosys.co/incident-reporter/incident-reporter-app/-/merge_requests/1751#note_234416", "Not recommended")</f>
        <v/>
      </c>
      <c r="L3700" t="inlineStr">
        <is>
          <t>2025-07-10 19:15:04.257 IST</t>
        </is>
      </c>
      <c r="M3700" t="inlineStr">
        <is>
          <t>Soundariya B</t>
        </is>
      </c>
      <c r="N3700" t="inlineStr">
        <is>
          <t>Yes</t>
        </is>
      </c>
      <c r="O3700" t="inlineStr">
        <is>
          <t>Yes</t>
        </is>
      </c>
      <c r="P3700" t="inlineStr">
        <is>
          <t>Soundariya B</t>
        </is>
      </c>
      <c r="Q3700" t="inlineStr">
        <is>
          <t>Bad</t>
        </is>
      </c>
    </row>
    <row r="3701">
      <c r="A3701" t="inlineStr">
        <is>
          <t>vaibhav.v</t>
        </is>
      </c>
      <c r="B3701" t="inlineStr">
        <is>
          <t>Vaibhav Varun</t>
        </is>
      </c>
      <c r="C3701" t="inlineStr">
        <is>
          <t>vaibhav.v@osmosys.co</t>
        </is>
      </c>
      <c r="D3701" t="inlineStr">
        <is>
          <t>incident-reporter</t>
        </is>
      </c>
      <c r="E3701">
        <f>HYPERLINK("http://gitlab.osmosys.co/incident-reporter/incident-reporter-app", "OQSHA Mobile App")</f>
        <v/>
      </c>
      <c r="F3701">
        <f>HYPERLINK("http://gitlab.osmosys.co/incident-reporter/incident-reporter-app/-/merge_requests/1751", "feat: add audit list")</f>
        <v/>
      </c>
      <c r="G3701" t="inlineStr">
        <is>
          <t>feat/audit-list</t>
        </is>
      </c>
      <c r="H3701" t="inlineStr">
        <is>
          <t>sprint-17</t>
        </is>
      </c>
      <c r="I3701" t="inlineStr">
        <is>
          <t>merged</t>
        </is>
      </c>
      <c r="J3701" t="inlineStr">
        <is>
          <t>7778ff6e3f87af24cc36f440ceec4c97be7d4991</t>
        </is>
      </c>
      <c r="K3701">
        <f>HYPERLINK("http://gitlab.osmosys.co/incident-reporter/incident-reporter-app/-/merge_requests/1751#note_234692", "Changed")</f>
        <v/>
      </c>
      <c r="L3701" t="inlineStr">
        <is>
          <t>2025-07-11 00:04:41.392 IST</t>
        </is>
      </c>
      <c r="M3701" t="inlineStr">
        <is>
          <t>Vaibhav Varun</t>
        </is>
      </c>
      <c r="N3701" t="inlineStr">
        <is>
          <t>No</t>
        </is>
      </c>
      <c r="O3701" t="inlineStr">
        <is>
          <t>Yes</t>
        </is>
      </c>
      <c r="P3701" t="inlineStr">
        <is>
          <t>Soundariya B</t>
        </is>
      </c>
      <c r="Q3701" t="inlineStr">
        <is>
          <t>Bad</t>
        </is>
      </c>
    </row>
    <row r="3702">
      <c r="A3702" t="inlineStr">
        <is>
          <t>vaibhav.v</t>
        </is>
      </c>
      <c r="B3702" t="inlineStr">
        <is>
          <t>Vaibhav Varun</t>
        </is>
      </c>
      <c r="C3702" t="inlineStr">
        <is>
          <t>vaibhav.v@osmosys.co</t>
        </is>
      </c>
      <c r="D3702" t="inlineStr">
        <is>
          <t>incident-reporter</t>
        </is>
      </c>
      <c r="E3702">
        <f>HYPERLINK("http://gitlab.osmosys.co/incident-reporter/incident-reporter-app", "OQSHA Mobile App")</f>
        <v/>
      </c>
      <c r="F3702">
        <f>HYPERLINK("http://gitlab.osmosys.co/incident-reporter/incident-reporter-app/-/merge_requests/1751", "feat: add audit list")</f>
        <v/>
      </c>
      <c r="G3702" t="inlineStr">
        <is>
          <t>feat/audit-list</t>
        </is>
      </c>
      <c r="H3702" t="inlineStr">
        <is>
          <t>sprint-17</t>
        </is>
      </c>
      <c r="I3702" t="inlineStr">
        <is>
          <t>merged</t>
        </is>
      </c>
      <c r="J3702" t="inlineStr">
        <is>
          <t>396c5b81e4f829f441161afe67c18fab78baf12e</t>
        </is>
      </c>
      <c r="K3702">
        <f>HYPERLINK("http://gitlab.osmosys.co/incident-reporter/incident-reporter-app/-/merge_requests/1751#note_234417", "Use hexa value")</f>
        <v/>
      </c>
      <c r="L3702" t="inlineStr">
        <is>
          <t>2025-07-10 19:15:04.314 IST</t>
        </is>
      </c>
      <c r="M3702" t="inlineStr">
        <is>
          <t>Soundariya B</t>
        </is>
      </c>
      <c r="N3702" t="inlineStr">
        <is>
          <t>Yes</t>
        </is>
      </c>
      <c r="O3702" t="inlineStr">
        <is>
          <t>Yes</t>
        </is>
      </c>
      <c r="P3702" t="inlineStr">
        <is>
          <t>Soundariya B</t>
        </is>
      </c>
      <c r="Q3702" t="inlineStr">
        <is>
          <t>Bad</t>
        </is>
      </c>
    </row>
    <row r="3703">
      <c r="A3703" t="inlineStr">
        <is>
          <t>vaibhav.v</t>
        </is>
      </c>
      <c r="B3703" t="inlineStr">
        <is>
          <t>Vaibhav Varun</t>
        </is>
      </c>
      <c r="C3703" t="inlineStr">
        <is>
          <t>vaibhav.v@osmosys.co</t>
        </is>
      </c>
      <c r="D3703" t="inlineStr">
        <is>
          <t>incident-reporter</t>
        </is>
      </c>
      <c r="E3703">
        <f>HYPERLINK("http://gitlab.osmosys.co/incident-reporter/incident-reporter-app", "OQSHA Mobile App")</f>
        <v/>
      </c>
      <c r="F3703">
        <f>HYPERLINK("http://gitlab.osmosys.co/incident-reporter/incident-reporter-app/-/merge_requests/1751", "feat: add audit list")</f>
        <v/>
      </c>
      <c r="G3703" t="inlineStr">
        <is>
          <t>feat/audit-list</t>
        </is>
      </c>
      <c r="H3703" t="inlineStr">
        <is>
          <t>sprint-17</t>
        </is>
      </c>
      <c r="I3703" t="inlineStr">
        <is>
          <t>merged</t>
        </is>
      </c>
      <c r="J3703" t="inlineStr">
        <is>
          <t>396c5b81e4f829f441161afe67c18fab78baf12e</t>
        </is>
      </c>
      <c r="K3703">
        <f>HYPERLINK("http://gitlab.osmosys.co/incident-reporter/incident-reporter-app/-/merge_requests/1751#note_234694", "Changed")</f>
        <v/>
      </c>
      <c r="L3703" t="inlineStr">
        <is>
          <t>2025-07-11 00:05:38.418 IST</t>
        </is>
      </c>
      <c r="M3703" t="inlineStr">
        <is>
          <t>Vaibhav Varun</t>
        </is>
      </c>
      <c r="N3703" t="inlineStr">
        <is>
          <t>No</t>
        </is>
      </c>
      <c r="O3703" t="inlineStr">
        <is>
          <t>Yes</t>
        </is>
      </c>
      <c r="P3703" t="inlineStr">
        <is>
          <t>Soundariya B</t>
        </is>
      </c>
      <c r="Q3703" t="inlineStr">
        <is>
          <t>Bad</t>
        </is>
      </c>
    </row>
    <row r="3704">
      <c r="A3704" t="inlineStr">
        <is>
          <t>vaibhav.v</t>
        </is>
      </c>
      <c r="B3704" t="inlineStr">
        <is>
          <t>Vaibhav Varun</t>
        </is>
      </c>
      <c r="C3704" t="inlineStr">
        <is>
          <t>vaibhav.v@osmosys.co</t>
        </is>
      </c>
      <c r="D3704" t="inlineStr">
        <is>
          <t>incident-reporter</t>
        </is>
      </c>
      <c r="E3704">
        <f>HYPERLINK("http://gitlab.osmosys.co/incident-reporter/incident-reporter-app", "OQSHA Mobile App")</f>
        <v/>
      </c>
      <c r="F3704">
        <f>HYPERLINK("http://gitlab.osmosys.co/incident-reporter/incident-reporter-app/-/merge_requests/1751", "feat: add audit list")</f>
        <v/>
      </c>
      <c r="G3704" t="inlineStr">
        <is>
          <t>feat/audit-list</t>
        </is>
      </c>
      <c r="H3704" t="inlineStr">
        <is>
          <t>sprint-17</t>
        </is>
      </c>
      <c r="I3704" t="inlineStr">
        <is>
          <t>merged</t>
        </is>
      </c>
      <c r="J3704" t="inlineStr">
        <is>
          <t>cd46e4f81092b8c118738a65b0d47c4f73cb59cb</t>
        </is>
      </c>
      <c r="K3704">
        <f>HYPERLINK("http://gitlab.osmosys.co/incident-reporter/incident-reporter-app/-/merge_requests/1751#note_234418", "Use hexa value and use anyone which is working")</f>
        <v/>
      </c>
      <c r="L3704" t="inlineStr">
        <is>
          <t>2025-07-10 19:15:04.368 IST</t>
        </is>
      </c>
      <c r="M3704" t="inlineStr">
        <is>
          <t>Soundariya B</t>
        </is>
      </c>
      <c r="N3704" t="inlineStr">
        <is>
          <t>Yes</t>
        </is>
      </c>
      <c r="O3704" t="inlineStr">
        <is>
          <t>Yes</t>
        </is>
      </c>
      <c r="P3704" t="inlineStr">
        <is>
          <t>Soundariya B</t>
        </is>
      </c>
      <c r="Q3704" t="inlineStr">
        <is>
          <t>Bad</t>
        </is>
      </c>
    </row>
    <row r="3705">
      <c r="A3705" t="inlineStr">
        <is>
          <t>vaibhav.v</t>
        </is>
      </c>
      <c r="B3705" t="inlineStr">
        <is>
          <t>Vaibhav Varun</t>
        </is>
      </c>
      <c r="C3705" t="inlineStr">
        <is>
          <t>vaibhav.v@osmosys.co</t>
        </is>
      </c>
      <c r="D3705" t="inlineStr">
        <is>
          <t>incident-reporter</t>
        </is>
      </c>
      <c r="E3705">
        <f>HYPERLINK("http://gitlab.osmosys.co/incident-reporter/incident-reporter-app", "OQSHA Mobile App")</f>
        <v/>
      </c>
      <c r="F3705">
        <f>HYPERLINK("http://gitlab.osmosys.co/incident-reporter/incident-reporter-app/-/merge_requests/1751", "feat: add audit list")</f>
        <v/>
      </c>
      <c r="G3705" t="inlineStr">
        <is>
          <t>feat/audit-list</t>
        </is>
      </c>
      <c r="H3705" t="inlineStr">
        <is>
          <t>sprint-17</t>
        </is>
      </c>
      <c r="I3705" t="inlineStr">
        <is>
          <t>merged</t>
        </is>
      </c>
      <c r="J3705" t="inlineStr">
        <is>
          <t>cd46e4f81092b8c118738a65b0d47c4f73cb59cb</t>
        </is>
      </c>
      <c r="K3705">
        <f>HYPERLINK("http://gitlab.osmosys.co/incident-reporter/incident-reporter-app/-/merge_requests/1751#note_234697", "Changed")</f>
        <v/>
      </c>
      <c r="L3705" t="inlineStr">
        <is>
          <t>2025-07-11 00:09:14.753 IST</t>
        </is>
      </c>
      <c r="M3705" t="inlineStr">
        <is>
          <t>Vaibhav Varun</t>
        </is>
      </c>
      <c r="N3705" t="inlineStr">
        <is>
          <t>No</t>
        </is>
      </c>
      <c r="O3705" t="inlineStr">
        <is>
          <t>Yes</t>
        </is>
      </c>
      <c r="P3705" t="inlineStr">
        <is>
          <t>Soundariya B</t>
        </is>
      </c>
      <c r="Q3705" t="inlineStr">
        <is>
          <t>Bad</t>
        </is>
      </c>
    </row>
    <row r="3706">
      <c r="A3706" t="inlineStr">
        <is>
          <t>vaibhav.v</t>
        </is>
      </c>
      <c r="B3706" t="inlineStr">
        <is>
          <t>Vaibhav Varun</t>
        </is>
      </c>
      <c r="C3706" t="inlineStr">
        <is>
          <t>vaibhav.v@osmosys.co</t>
        </is>
      </c>
      <c r="D3706" t="inlineStr">
        <is>
          <t>incident-reporter</t>
        </is>
      </c>
      <c r="E3706">
        <f>HYPERLINK("http://gitlab.osmosys.co/incident-reporter/incident-reporter-app", "OQSHA Mobile App")</f>
        <v/>
      </c>
      <c r="F3706">
        <f>HYPERLINK("http://gitlab.osmosys.co/incident-reporter/incident-reporter-app/-/merge_requests/1751", "feat: add audit list")</f>
        <v/>
      </c>
      <c r="G3706" t="inlineStr">
        <is>
          <t>feat/audit-list</t>
        </is>
      </c>
      <c r="H3706" t="inlineStr">
        <is>
          <t>sprint-17</t>
        </is>
      </c>
      <c r="I3706" t="inlineStr">
        <is>
          <t>merged</t>
        </is>
      </c>
      <c r="J3706" t="inlineStr">
        <is>
          <t>d0629ee8abf2ac53876e0a6a28ddca29d4ab8806</t>
        </is>
      </c>
      <c r="K3706">
        <f>HYPERLINK("http://gitlab.osmosys.co/incident-reporter/incident-reporter-app/-/merge_requests/1751#note_234419", "Assignment while passing argument as parameter is not recommended")</f>
        <v/>
      </c>
      <c r="L3706" t="inlineStr">
        <is>
          <t>2025-07-10 19:15:04.449 IST</t>
        </is>
      </c>
      <c r="M3706" t="inlineStr">
        <is>
          <t>Soundariya B</t>
        </is>
      </c>
      <c r="N3706" t="inlineStr">
        <is>
          <t>Yes</t>
        </is>
      </c>
      <c r="O3706" t="inlineStr">
        <is>
          <t>Yes</t>
        </is>
      </c>
      <c r="P3706" t="inlineStr">
        <is>
          <t>Soundariya B</t>
        </is>
      </c>
      <c r="Q3706" t="inlineStr">
        <is>
          <t>Bad</t>
        </is>
      </c>
    </row>
    <row r="3707">
      <c r="A3707" t="inlineStr">
        <is>
          <t>vaibhav.v</t>
        </is>
      </c>
      <c r="B3707" t="inlineStr">
        <is>
          <t>Vaibhav Varun</t>
        </is>
      </c>
      <c r="C3707" t="inlineStr">
        <is>
          <t>vaibhav.v@osmosys.co</t>
        </is>
      </c>
      <c r="D3707" t="inlineStr">
        <is>
          <t>incident-reporter</t>
        </is>
      </c>
      <c r="E3707">
        <f>HYPERLINK("http://gitlab.osmosys.co/incident-reporter/incident-reporter-app", "OQSHA Mobile App")</f>
        <v/>
      </c>
      <c r="F3707">
        <f>HYPERLINK("http://gitlab.osmosys.co/incident-reporter/incident-reporter-app/-/merge_requests/1751", "feat: add audit list")</f>
        <v/>
      </c>
      <c r="G3707" t="inlineStr">
        <is>
          <t>feat/audit-list</t>
        </is>
      </c>
      <c r="H3707" t="inlineStr">
        <is>
          <t>sprint-17</t>
        </is>
      </c>
      <c r="I3707" t="inlineStr">
        <is>
          <t>merged</t>
        </is>
      </c>
      <c r="J3707" t="inlineStr">
        <is>
          <t>d0629ee8abf2ac53876e0a6a28ddca29d4ab8806</t>
        </is>
      </c>
      <c r="K3707">
        <f>HYPERLINK("http://gitlab.osmosys.co/incident-reporter/incident-reporter-app/-/merge_requests/1751#note_234709", "Changed")</f>
        <v/>
      </c>
      <c r="L3707" t="inlineStr">
        <is>
          <t>2025-07-11 00:13:34.625 IST</t>
        </is>
      </c>
      <c r="M3707" t="inlineStr">
        <is>
          <t>Vaibhav Varun</t>
        </is>
      </c>
      <c r="N3707" t="inlineStr">
        <is>
          <t>No</t>
        </is>
      </c>
      <c r="O3707" t="inlineStr">
        <is>
          <t>Yes</t>
        </is>
      </c>
      <c r="P3707" t="inlineStr">
        <is>
          <t>Soundariya B</t>
        </is>
      </c>
      <c r="Q3707" t="inlineStr">
        <is>
          <t>Bad</t>
        </is>
      </c>
    </row>
    <row r="3708">
      <c r="A3708" t="inlineStr">
        <is>
          <t>vaibhav.v</t>
        </is>
      </c>
      <c r="B3708" t="inlineStr">
        <is>
          <t>Vaibhav Varun</t>
        </is>
      </c>
      <c r="C3708" t="inlineStr">
        <is>
          <t>vaibhav.v@osmosys.co</t>
        </is>
      </c>
      <c r="D3708" t="inlineStr">
        <is>
          <t>incident-reporter</t>
        </is>
      </c>
      <c r="E3708">
        <f>HYPERLINK("http://gitlab.osmosys.co/incident-reporter/incident-reporter-app", "OQSHA Mobile App")</f>
        <v/>
      </c>
      <c r="F3708">
        <f>HYPERLINK("http://gitlab.osmosys.co/incident-reporter/incident-reporter-app/-/merge_requests/1751", "feat: add audit list")</f>
        <v/>
      </c>
      <c r="G3708" t="inlineStr">
        <is>
          <t>feat/audit-list</t>
        </is>
      </c>
      <c r="H3708" t="inlineStr">
        <is>
          <t>sprint-17</t>
        </is>
      </c>
      <c r="I3708" t="inlineStr">
        <is>
          <t>merged</t>
        </is>
      </c>
      <c r="J3708" t="inlineStr">
        <is>
          <t>ebcdfec8b6a53bb211950c6b34983dc0951efce9</t>
        </is>
      </c>
      <c r="K3708">
        <f>HYPERLINK("http://gitlab.osmosys.co/incident-reporter/incident-reporter-app/-/merge_requests/1751#note_234420", "Assignment while passing argument as parameter is not recommended")</f>
        <v/>
      </c>
      <c r="L3708" t="inlineStr">
        <is>
          <t>2025-07-10 19:15:04.508 IST</t>
        </is>
      </c>
      <c r="M3708" t="inlineStr">
        <is>
          <t>Soundariya B</t>
        </is>
      </c>
      <c r="N3708" t="inlineStr">
        <is>
          <t>Yes</t>
        </is>
      </c>
      <c r="O3708" t="inlineStr">
        <is>
          <t>Yes</t>
        </is>
      </c>
      <c r="P3708" t="inlineStr">
        <is>
          <t>Soundariya B</t>
        </is>
      </c>
      <c r="Q3708" t="inlineStr">
        <is>
          <t>Bad</t>
        </is>
      </c>
    </row>
    <row r="3709">
      <c r="A3709" t="inlineStr">
        <is>
          <t>vaibhav.v</t>
        </is>
      </c>
      <c r="B3709" t="inlineStr">
        <is>
          <t>Vaibhav Varun</t>
        </is>
      </c>
      <c r="C3709" t="inlineStr">
        <is>
          <t>vaibhav.v@osmosys.co</t>
        </is>
      </c>
      <c r="D3709" t="inlineStr">
        <is>
          <t>incident-reporter</t>
        </is>
      </c>
      <c r="E3709">
        <f>HYPERLINK("http://gitlab.osmosys.co/incident-reporter/incident-reporter-app", "OQSHA Mobile App")</f>
        <v/>
      </c>
      <c r="F3709">
        <f>HYPERLINK("http://gitlab.osmosys.co/incident-reporter/incident-reporter-app/-/merge_requests/1751", "feat: add audit list")</f>
        <v/>
      </c>
      <c r="G3709" t="inlineStr">
        <is>
          <t>feat/audit-list</t>
        </is>
      </c>
      <c r="H3709" t="inlineStr">
        <is>
          <t>sprint-17</t>
        </is>
      </c>
      <c r="I3709" t="inlineStr">
        <is>
          <t>merged</t>
        </is>
      </c>
      <c r="J3709" t="inlineStr">
        <is>
          <t>ebcdfec8b6a53bb211950c6b34983dc0951efce9</t>
        </is>
      </c>
      <c r="K3709">
        <f>HYPERLINK("http://gitlab.osmosys.co/incident-reporter/incident-reporter-app/-/merge_requests/1751#note_234710", "Changed")</f>
        <v/>
      </c>
      <c r="L3709" t="inlineStr">
        <is>
          <t>2025-07-11 00:13:39.002 IST</t>
        </is>
      </c>
      <c r="M3709" t="inlineStr">
        <is>
          <t>Vaibhav Varun</t>
        </is>
      </c>
      <c r="N3709" t="inlineStr">
        <is>
          <t>No</t>
        </is>
      </c>
      <c r="O3709" t="inlineStr">
        <is>
          <t>Yes</t>
        </is>
      </c>
      <c r="P3709" t="inlineStr">
        <is>
          <t>Soundariya B</t>
        </is>
      </c>
      <c r="Q3709" t="inlineStr">
        <is>
          <t>Bad</t>
        </is>
      </c>
    </row>
    <row r="3710">
      <c r="A3710" t="inlineStr">
        <is>
          <t>vaibhav.v</t>
        </is>
      </c>
      <c r="B3710" t="inlineStr">
        <is>
          <t>Vaibhav Varun</t>
        </is>
      </c>
      <c r="C3710" t="inlineStr">
        <is>
          <t>vaibhav.v@osmosys.co</t>
        </is>
      </c>
      <c r="D3710" t="inlineStr">
        <is>
          <t>incident-reporter</t>
        </is>
      </c>
      <c r="E3710">
        <f>HYPERLINK("http://gitlab.osmosys.co/incident-reporter/incident-reporter-app", "OQSHA Mobile App")</f>
        <v/>
      </c>
      <c r="F3710">
        <f>HYPERLINK("http://gitlab.osmosys.co/incident-reporter/incident-reporter-app/-/merge_requests/1751", "feat: add audit list")</f>
        <v/>
      </c>
      <c r="G3710" t="inlineStr">
        <is>
          <t>feat/audit-list</t>
        </is>
      </c>
      <c r="H3710" t="inlineStr">
        <is>
          <t>sprint-17</t>
        </is>
      </c>
      <c r="I3710" t="inlineStr">
        <is>
          <t>merged</t>
        </is>
      </c>
      <c r="J3710" t="inlineStr">
        <is>
          <t>d047c4fe53ddf5a8fca041a01427e44b7c176f2b</t>
        </is>
      </c>
      <c r="K3710">
        <f>HYPERLINK("http://gitlab.osmosys.co/incident-reporter/incident-reporter-app/-/merge_requests/1751#note_234421", "Same kind of code using more than 1 place - please improve it and reuse it")</f>
        <v/>
      </c>
      <c r="L3710" t="inlineStr">
        <is>
          <t>2025-07-10 19:15:04.563 IST</t>
        </is>
      </c>
      <c r="M3710" t="inlineStr">
        <is>
          <t>Soundariya B</t>
        </is>
      </c>
      <c r="N3710" t="inlineStr">
        <is>
          <t>Yes</t>
        </is>
      </c>
      <c r="O3710" t="inlineStr">
        <is>
          <t>Yes</t>
        </is>
      </c>
      <c r="P3710" t="inlineStr">
        <is>
          <t>Soundariya B</t>
        </is>
      </c>
      <c r="Q3710" t="inlineStr">
        <is>
          <t>Neutral</t>
        </is>
      </c>
    </row>
    <row r="3711">
      <c r="A3711" t="inlineStr">
        <is>
          <t>vaibhav.v</t>
        </is>
      </c>
      <c r="B3711" t="inlineStr">
        <is>
          <t>Vaibhav Varun</t>
        </is>
      </c>
      <c r="C3711" t="inlineStr">
        <is>
          <t>vaibhav.v@osmosys.co</t>
        </is>
      </c>
      <c r="D3711" t="inlineStr">
        <is>
          <t>incident-reporter</t>
        </is>
      </c>
      <c r="E3711">
        <f>HYPERLINK("http://gitlab.osmosys.co/incident-reporter/incident-reporter-app", "OQSHA Mobile App")</f>
        <v/>
      </c>
      <c r="F3711">
        <f>HYPERLINK("http://gitlab.osmosys.co/incident-reporter/incident-reporter-app/-/merge_requests/1751", "feat: add audit list")</f>
        <v/>
      </c>
      <c r="G3711" t="inlineStr">
        <is>
          <t>feat/audit-list</t>
        </is>
      </c>
      <c r="H3711" t="inlineStr">
        <is>
          <t>sprint-17</t>
        </is>
      </c>
      <c r="I3711" t="inlineStr">
        <is>
          <t>merged</t>
        </is>
      </c>
      <c r="J3711" t="inlineStr">
        <is>
          <t>d047c4fe53ddf5a8fca041a01427e44b7c176f2b</t>
        </is>
      </c>
      <c r="K3711">
        <f>HYPERLINK("http://gitlab.osmosys.co/incident-reporter/incident-reporter-app/-/merge_requests/1751#note_234719", "I took some similar code from other modules, its like this changing logic will alter a lot of things, anyways we are setting the values of selected fields to all fields if its not coming from filters which I think is not wrong and its also separate for all fields.")</f>
        <v/>
      </c>
      <c r="L3711" t="inlineStr">
        <is>
          <t>2025-07-11 00:15:27.756 IST</t>
        </is>
      </c>
      <c r="M3711" t="inlineStr">
        <is>
          <t>Vaibhav Varun</t>
        </is>
      </c>
      <c r="N3711" t="inlineStr">
        <is>
          <t>No</t>
        </is>
      </c>
      <c r="O3711" t="inlineStr">
        <is>
          <t>Yes</t>
        </is>
      </c>
      <c r="P3711" t="inlineStr">
        <is>
          <t>Soundariya B</t>
        </is>
      </c>
      <c r="Q3711" t="inlineStr">
        <is>
          <t>Neutral</t>
        </is>
      </c>
    </row>
    <row r="3712">
      <c r="A3712" t="inlineStr">
        <is>
          <t>vaibhav.v</t>
        </is>
      </c>
      <c r="B3712" t="inlineStr">
        <is>
          <t>Vaibhav Varun</t>
        </is>
      </c>
      <c r="C3712" t="inlineStr">
        <is>
          <t>vaibhav.v@osmosys.co</t>
        </is>
      </c>
      <c r="D3712" t="inlineStr">
        <is>
          <t>incident-reporter</t>
        </is>
      </c>
      <c r="E3712">
        <f>HYPERLINK("http://gitlab.osmosys.co/incident-reporter/incident-reporter-app", "OQSHA Mobile App")</f>
        <v/>
      </c>
      <c r="F3712">
        <f>HYPERLINK("http://gitlab.osmosys.co/incident-reporter/incident-reporter-app/-/merge_requests/1751", "feat: add audit list")</f>
        <v/>
      </c>
      <c r="G3712" t="inlineStr">
        <is>
          <t>feat/audit-list</t>
        </is>
      </c>
      <c r="H3712" t="inlineStr">
        <is>
          <t>sprint-17</t>
        </is>
      </c>
      <c r="I3712" t="inlineStr">
        <is>
          <t>merged</t>
        </is>
      </c>
      <c r="J3712" t="inlineStr">
        <is>
          <t>e91464f958639ea9a2bf257ae905619b94fed0bd</t>
        </is>
      </c>
      <c r="K3712">
        <f>HYPERLINK("http://gitlab.osmosys.co/incident-reporter/incident-reporter-app/-/merge_requests/1751#note_234422", "Same kind of code using more than 1 place - please improve it and reuse it")</f>
        <v/>
      </c>
      <c r="L3712" t="inlineStr">
        <is>
          <t>2025-07-10 19:15:04.620 IST</t>
        </is>
      </c>
      <c r="M3712" t="inlineStr">
        <is>
          <t>Soundariya B</t>
        </is>
      </c>
      <c r="N3712" t="inlineStr">
        <is>
          <t>Yes</t>
        </is>
      </c>
      <c r="O3712" t="inlineStr">
        <is>
          <t>Yes</t>
        </is>
      </c>
      <c r="P3712" t="inlineStr">
        <is>
          <t>Soundariya B</t>
        </is>
      </c>
      <c r="Q3712" t="inlineStr">
        <is>
          <t>Neutral</t>
        </is>
      </c>
    </row>
    <row r="3713">
      <c r="A3713" t="inlineStr">
        <is>
          <t>vaibhav.v</t>
        </is>
      </c>
      <c r="B3713" t="inlineStr">
        <is>
          <t>Vaibhav Varun</t>
        </is>
      </c>
      <c r="C3713" t="inlineStr">
        <is>
          <t>vaibhav.v@osmosys.co</t>
        </is>
      </c>
      <c r="D3713" t="inlineStr">
        <is>
          <t>incident-reporter</t>
        </is>
      </c>
      <c r="E3713">
        <f>HYPERLINK("http://gitlab.osmosys.co/incident-reporter/incident-reporter-app", "OQSHA Mobile App")</f>
        <v/>
      </c>
      <c r="F3713">
        <f>HYPERLINK("http://gitlab.osmosys.co/incident-reporter/incident-reporter-app/-/merge_requests/1751", "feat: add audit list")</f>
        <v/>
      </c>
      <c r="G3713" t="inlineStr">
        <is>
          <t>feat/audit-list</t>
        </is>
      </c>
      <c r="H3713" t="inlineStr">
        <is>
          <t>sprint-17</t>
        </is>
      </c>
      <c r="I3713" t="inlineStr">
        <is>
          <t>merged</t>
        </is>
      </c>
      <c r="J3713" t="inlineStr">
        <is>
          <t>e91464f958639ea9a2bf257ae905619b94fed0bd</t>
        </is>
      </c>
      <c r="K3713">
        <f>HYPERLINK("http://gitlab.osmosys.co/incident-reporter/incident-reporter-app/-/merge_requests/1751#note_234720", "I took some similar code from other modules, its like this changing logic will alter a lot of things, anyways we are setting the values of selected fields to all fields if its not coming from filters which I think is not wrong and its also separate for all fields.")</f>
        <v/>
      </c>
      <c r="L3713" t="inlineStr">
        <is>
          <t>2025-07-11 00:15:39.553 IST</t>
        </is>
      </c>
      <c r="M3713" t="inlineStr">
        <is>
          <t>Vaibhav Varun</t>
        </is>
      </c>
      <c r="N3713" t="inlineStr">
        <is>
          <t>No</t>
        </is>
      </c>
      <c r="O3713" t="inlineStr">
        <is>
          <t>Yes</t>
        </is>
      </c>
      <c r="P3713" t="inlineStr">
        <is>
          <t>Soundariya B</t>
        </is>
      </c>
      <c r="Q3713" t="inlineStr">
        <is>
          <t>Neutral</t>
        </is>
      </c>
    </row>
    <row r="3714">
      <c r="A3714" t="inlineStr">
        <is>
          <t>vaibhav.v</t>
        </is>
      </c>
      <c r="B3714" t="inlineStr">
        <is>
          <t>Vaibhav Varun</t>
        </is>
      </c>
      <c r="C3714" t="inlineStr">
        <is>
          <t>vaibhav.v@osmosys.co</t>
        </is>
      </c>
      <c r="D3714" t="inlineStr">
        <is>
          <t>incident-reporter</t>
        </is>
      </c>
      <c r="E3714">
        <f>HYPERLINK("http://gitlab.osmosys.co/incident-reporter/incident-reporter-app", "OQSHA Mobile App")</f>
        <v/>
      </c>
      <c r="F3714">
        <f>HYPERLINK("http://gitlab.osmosys.co/incident-reporter/incident-reporter-app/-/merge_requests/1751", "feat: add audit list")</f>
        <v/>
      </c>
      <c r="G3714" t="inlineStr">
        <is>
          <t>feat/audit-list</t>
        </is>
      </c>
      <c r="H3714" t="inlineStr">
        <is>
          <t>sprint-17</t>
        </is>
      </c>
      <c r="I3714" t="inlineStr">
        <is>
          <t>merged</t>
        </is>
      </c>
      <c r="J3714" t="inlineStr">
        <is>
          <t>691a11d85796f8318b9a3895d7d0cccf5ff04c38</t>
        </is>
      </c>
      <c r="K3714">
        <f>HYPERLINK("http://gitlab.osmosys.co/incident-reporter/incident-reporter-app/-/merge_requests/1751#note_234423", "Same kind of code using more than 1 place - please improve it and reuse it")</f>
        <v/>
      </c>
      <c r="L3714" t="inlineStr">
        <is>
          <t>2025-07-10 19:15:04.678 IST</t>
        </is>
      </c>
      <c r="M3714" t="inlineStr">
        <is>
          <t>Soundariya B</t>
        </is>
      </c>
      <c r="N3714" t="inlineStr">
        <is>
          <t>Yes</t>
        </is>
      </c>
      <c r="O3714" t="inlineStr">
        <is>
          <t>Yes</t>
        </is>
      </c>
      <c r="P3714" t="inlineStr">
        <is>
          <t>Soundariya B</t>
        </is>
      </c>
      <c r="Q3714" t="inlineStr">
        <is>
          <t>Neutral</t>
        </is>
      </c>
    </row>
    <row r="3715">
      <c r="A3715" t="inlineStr">
        <is>
          <t>vaibhav.v</t>
        </is>
      </c>
      <c r="B3715" t="inlineStr">
        <is>
          <t>Vaibhav Varun</t>
        </is>
      </c>
      <c r="C3715" t="inlineStr">
        <is>
          <t>vaibhav.v@osmosys.co</t>
        </is>
      </c>
      <c r="D3715" t="inlineStr">
        <is>
          <t>incident-reporter</t>
        </is>
      </c>
      <c r="E3715">
        <f>HYPERLINK("http://gitlab.osmosys.co/incident-reporter/incident-reporter-app", "OQSHA Mobile App")</f>
        <v/>
      </c>
      <c r="F3715">
        <f>HYPERLINK("http://gitlab.osmosys.co/incident-reporter/incident-reporter-app/-/merge_requests/1751", "feat: add audit list")</f>
        <v/>
      </c>
      <c r="G3715" t="inlineStr">
        <is>
          <t>feat/audit-list</t>
        </is>
      </c>
      <c r="H3715" t="inlineStr">
        <is>
          <t>sprint-17</t>
        </is>
      </c>
      <c r="I3715" t="inlineStr">
        <is>
          <t>merged</t>
        </is>
      </c>
      <c r="J3715" t="inlineStr">
        <is>
          <t>691a11d85796f8318b9a3895d7d0cccf5ff04c38</t>
        </is>
      </c>
      <c r="K3715">
        <f>HYPERLINK("http://gitlab.osmosys.co/incident-reporter/incident-reporter-app/-/merge_requests/1751#note_234721", "I took some similar code from other modules, its like this changing logic will alter a lot of things, anyways we are setting the values of selected fields to all fields if its not coming from filters which I think is not wrong and its also separate for all fields.")</f>
        <v/>
      </c>
      <c r="L3715" t="inlineStr">
        <is>
          <t>2025-07-11 00:15:43.784 IST</t>
        </is>
      </c>
      <c r="M3715" t="inlineStr">
        <is>
          <t>Vaibhav Varun</t>
        </is>
      </c>
      <c r="N3715" t="inlineStr">
        <is>
          <t>No</t>
        </is>
      </c>
      <c r="O3715" t="inlineStr">
        <is>
          <t>Yes</t>
        </is>
      </c>
      <c r="P3715" t="inlineStr">
        <is>
          <t>Soundariya B</t>
        </is>
      </c>
      <c r="Q3715" t="inlineStr">
        <is>
          <t>Neutral</t>
        </is>
      </c>
    </row>
    <row r="3716">
      <c r="A3716" t="inlineStr">
        <is>
          <t>vaibhav.v</t>
        </is>
      </c>
      <c r="B3716" t="inlineStr">
        <is>
          <t>Vaibhav Varun</t>
        </is>
      </c>
      <c r="C3716" t="inlineStr">
        <is>
          <t>vaibhav.v@osmosys.co</t>
        </is>
      </c>
      <c r="D3716" t="inlineStr">
        <is>
          <t>incident-reporter</t>
        </is>
      </c>
      <c r="E3716">
        <f>HYPERLINK("http://gitlab.osmosys.co/incident-reporter/incident-reporter-app", "OQSHA Mobile App")</f>
        <v/>
      </c>
      <c r="F3716">
        <f>HYPERLINK("http://gitlab.osmosys.co/incident-reporter/incident-reporter-app/-/merge_requests/1751", "feat: add audit list")</f>
        <v/>
      </c>
      <c r="G3716" t="inlineStr">
        <is>
          <t>feat/audit-list</t>
        </is>
      </c>
      <c r="H3716" t="inlineStr">
        <is>
          <t>sprint-17</t>
        </is>
      </c>
      <c r="I3716" t="inlineStr">
        <is>
          <t>merged</t>
        </is>
      </c>
      <c r="J3716" t="inlineStr">
        <is>
          <t>8d4976792bc472f86ea7fd687f86bb3bd8158662</t>
        </is>
      </c>
      <c r="K3716">
        <f>HYPERLINK("http://gitlab.osmosys.co/incident-reporter/incident-reporter-app/-/merge_requests/1751#note_234424", "Same kind of code using more than 1 place - please improve it and reuse it")</f>
        <v/>
      </c>
      <c r="L3716" t="inlineStr">
        <is>
          <t>2025-07-10 19:15:04.734 IST</t>
        </is>
      </c>
      <c r="M3716" t="inlineStr">
        <is>
          <t>Soundariya B</t>
        </is>
      </c>
      <c r="N3716" t="inlineStr">
        <is>
          <t>Yes</t>
        </is>
      </c>
      <c r="O3716" t="inlineStr">
        <is>
          <t>Yes</t>
        </is>
      </c>
      <c r="P3716" t="inlineStr">
        <is>
          <t>Soundariya B</t>
        </is>
      </c>
      <c r="Q3716" t="inlineStr">
        <is>
          <t>Neutral</t>
        </is>
      </c>
    </row>
    <row r="3717">
      <c r="A3717" t="inlineStr">
        <is>
          <t>vaibhav.v</t>
        </is>
      </c>
      <c r="B3717" t="inlineStr">
        <is>
          <t>Vaibhav Varun</t>
        </is>
      </c>
      <c r="C3717" t="inlineStr">
        <is>
          <t>vaibhav.v@osmosys.co</t>
        </is>
      </c>
      <c r="D3717" t="inlineStr">
        <is>
          <t>incident-reporter</t>
        </is>
      </c>
      <c r="E3717">
        <f>HYPERLINK("http://gitlab.osmosys.co/incident-reporter/incident-reporter-app", "OQSHA Mobile App")</f>
        <v/>
      </c>
      <c r="F3717">
        <f>HYPERLINK("http://gitlab.osmosys.co/incident-reporter/incident-reporter-app/-/merge_requests/1751", "feat: add audit list")</f>
        <v/>
      </c>
      <c r="G3717" t="inlineStr">
        <is>
          <t>feat/audit-list</t>
        </is>
      </c>
      <c r="H3717" t="inlineStr">
        <is>
          <t>sprint-17</t>
        </is>
      </c>
      <c r="I3717" t="inlineStr">
        <is>
          <t>merged</t>
        </is>
      </c>
      <c r="J3717" t="inlineStr">
        <is>
          <t>8d4976792bc472f86ea7fd687f86bb3bd8158662</t>
        </is>
      </c>
      <c r="K3717">
        <f>HYPERLINK("http://gitlab.osmosys.co/incident-reporter/incident-reporter-app/-/merge_requests/1751#note_234722", "I took some similar code from other modules, its like this changing logic will alter a lot of things, anyways we are setting the values of selected fields to all fields if its not coming from filters which I think is not wrong and its also separate for all fields.")</f>
        <v/>
      </c>
      <c r="L3717" t="inlineStr">
        <is>
          <t>2025-07-11 00:15:58.135 IST</t>
        </is>
      </c>
      <c r="M3717" t="inlineStr">
        <is>
          <t>Vaibhav Varun</t>
        </is>
      </c>
      <c r="N3717" t="inlineStr">
        <is>
          <t>No</t>
        </is>
      </c>
      <c r="O3717" t="inlineStr">
        <is>
          <t>Yes</t>
        </is>
      </c>
      <c r="P3717" t="inlineStr">
        <is>
          <t>Soundariya B</t>
        </is>
      </c>
      <c r="Q3717" t="inlineStr">
        <is>
          <t>Neutral</t>
        </is>
      </c>
    </row>
    <row r="3718">
      <c r="A3718" t="inlineStr">
        <is>
          <t>vaibhav.v</t>
        </is>
      </c>
      <c r="B3718" t="inlineStr">
        <is>
          <t>Vaibhav Varun</t>
        </is>
      </c>
      <c r="C3718" t="inlineStr">
        <is>
          <t>vaibhav.v@osmosys.co</t>
        </is>
      </c>
      <c r="D3718" t="inlineStr">
        <is>
          <t>incident-reporter</t>
        </is>
      </c>
      <c r="E3718">
        <f>HYPERLINK("http://gitlab.osmosys.co/incident-reporter/incident-reporter-app", "OQSHA Mobile App")</f>
        <v/>
      </c>
      <c r="F3718">
        <f>HYPERLINK("http://gitlab.osmosys.co/incident-reporter/incident-reporter-app/-/merge_requests/1751", "feat: add audit list")</f>
        <v/>
      </c>
      <c r="G3718" t="inlineStr">
        <is>
          <t>feat/audit-list</t>
        </is>
      </c>
      <c r="H3718" t="inlineStr">
        <is>
          <t>sprint-17</t>
        </is>
      </c>
      <c r="I3718" t="inlineStr">
        <is>
          <t>merged</t>
        </is>
      </c>
      <c r="J3718" t="inlineStr">
        <is>
          <t>a31188016910cb8b704769d42e638065358ea161</t>
        </is>
      </c>
      <c r="K3718">
        <f>HYPERLINK("http://gitlab.osmosys.co/incident-reporter/incident-reporter-app/-/merge_requests/1751#note_234425", "Declare the data type")</f>
        <v/>
      </c>
      <c r="L3718" t="inlineStr">
        <is>
          <t>2025-07-10 19:15:04.789 IST</t>
        </is>
      </c>
      <c r="M3718" t="inlineStr">
        <is>
          <t>Soundariya B</t>
        </is>
      </c>
      <c r="N3718" t="inlineStr">
        <is>
          <t>Yes</t>
        </is>
      </c>
      <c r="O3718" t="inlineStr">
        <is>
          <t>Yes</t>
        </is>
      </c>
      <c r="P3718" t="inlineStr">
        <is>
          <t>Soundariya B</t>
        </is>
      </c>
      <c r="Q3718" t="inlineStr">
        <is>
          <t>Bad</t>
        </is>
      </c>
    </row>
    <row r="3719">
      <c r="A3719" t="inlineStr">
        <is>
          <t>vaibhav.v</t>
        </is>
      </c>
      <c r="B3719" t="inlineStr">
        <is>
          <t>Vaibhav Varun</t>
        </is>
      </c>
      <c r="C3719" t="inlineStr">
        <is>
          <t>vaibhav.v@osmosys.co</t>
        </is>
      </c>
      <c r="D3719" t="inlineStr">
        <is>
          <t>incident-reporter</t>
        </is>
      </c>
      <c r="E3719">
        <f>HYPERLINK("http://gitlab.osmosys.co/incident-reporter/incident-reporter-app", "OQSHA Mobile App")</f>
        <v/>
      </c>
      <c r="F3719">
        <f>HYPERLINK("http://gitlab.osmosys.co/incident-reporter/incident-reporter-app/-/merge_requests/1751", "feat: add audit list")</f>
        <v/>
      </c>
      <c r="G3719" t="inlineStr">
        <is>
          <t>feat/audit-list</t>
        </is>
      </c>
      <c r="H3719" t="inlineStr">
        <is>
          <t>sprint-17</t>
        </is>
      </c>
      <c r="I3719" t="inlineStr">
        <is>
          <t>merged</t>
        </is>
      </c>
      <c r="J3719" t="inlineStr">
        <is>
          <t>a31188016910cb8b704769d42e638065358ea161</t>
        </is>
      </c>
      <c r="K3719">
        <f>HYPERLINK("http://gitlab.osmosys.co/incident-reporter/incident-reporter-app/-/merge_requests/1751#note_234728", "Done")</f>
        <v/>
      </c>
      <c r="L3719" t="inlineStr">
        <is>
          <t>2025-07-11 00:19:03.257 IST</t>
        </is>
      </c>
      <c r="M3719" t="inlineStr">
        <is>
          <t>Vaibhav Varun</t>
        </is>
      </c>
      <c r="N3719" t="inlineStr">
        <is>
          <t>No</t>
        </is>
      </c>
      <c r="O3719" t="inlineStr">
        <is>
          <t>Yes</t>
        </is>
      </c>
      <c r="P3719" t="inlineStr">
        <is>
          <t>Soundariya B</t>
        </is>
      </c>
      <c r="Q3719" t="inlineStr">
        <is>
          <t>Bad</t>
        </is>
      </c>
    </row>
    <row r="3720">
      <c r="A3720" t="inlineStr">
        <is>
          <t>vaibhav.v</t>
        </is>
      </c>
      <c r="B3720" t="inlineStr">
        <is>
          <t>Vaibhav Varun</t>
        </is>
      </c>
      <c r="C3720" t="inlineStr">
        <is>
          <t>vaibhav.v@osmosys.co</t>
        </is>
      </c>
      <c r="D3720" t="inlineStr">
        <is>
          <t>incident-reporter</t>
        </is>
      </c>
      <c r="E3720">
        <f>HYPERLINK("http://gitlab.osmosys.co/incident-reporter/incident-reporter-app", "OQSHA Mobile App")</f>
        <v/>
      </c>
      <c r="F3720">
        <f>HYPERLINK("http://gitlab.osmosys.co/incident-reporter/incident-reporter-app/-/merge_requests/1751", "feat: add audit list")</f>
        <v/>
      </c>
      <c r="G3720" t="inlineStr">
        <is>
          <t>feat/audit-list</t>
        </is>
      </c>
      <c r="H3720" t="inlineStr">
        <is>
          <t>sprint-17</t>
        </is>
      </c>
      <c r="I3720" t="inlineStr">
        <is>
          <t>merged</t>
        </is>
      </c>
      <c r="J3720" t="inlineStr">
        <is>
          <t>760e94ab3bf2cf0f2dd4de71b2f53aeef6b823cf</t>
        </is>
      </c>
      <c r="K3720">
        <f>HYPERLINK("http://gitlab.osmosys.co/incident-reporter/incident-reporter-app/-/merge_requests/1751#note_234426", "Not recommended")</f>
        <v/>
      </c>
      <c r="L3720" t="inlineStr">
        <is>
          <t>2025-07-10 19:15:04.858 IST</t>
        </is>
      </c>
      <c r="M3720" t="inlineStr">
        <is>
          <t>Soundariya B</t>
        </is>
      </c>
      <c r="N3720" t="inlineStr">
        <is>
          <t>Yes</t>
        </is>
      </c>
      <c r="O3720" t="inlineStr">
        <is>
          <t>Yes</t>
        </is>
      </c>
      <c r="P3720" t="inlineStr">
        <is>
          <t>Soundariya B</t>
        </is>
      </c>
      <c r="Q3720" t="inlineStr">
        <is>
          <t>Bad</t>
        </is>
      </c>
    </row>
    <row r="3721">
      <c r="A3721" t="inlineStr">
        <is>
          <t>vaibhav.v</t>
        </is>
      </c>
      <c r="B3721" t="inlineStr">
        <is>
          <t>Vaibhav Varun</t>
        </is>
      </c>
      <c r="C3721" t="inlineStr">
        <is>
          <t>vaibhav.v@osmosys.co</t>
        </is>
      </c>
      <c r="D3721" t="inlineStr">
        <is>
          <t>incident-reporter</t>
        </is>
      </c>
      <c r="E3721">
        <f>HYPERLINK("http://gitlab.osmosys.co/incident-reporter/incident-reporter-app", "OQSHA Mobile App")</f>
        <v/>
      </c>
      <c r="F3721">
        <f>HYPERLINK("http://gitlab.osmosys.co/incident-reporter/incident-reporter-app/-/merge_requests/1751", "feat: add audit list")</f>
        <v/>
      </c>
      <c r="G3721" t="inlineStr">
        <is>
          <t>feat/audit-list</t>
        </is>
      </c>
      <c r="H3721" t="inlineStr">
        <is>
          <t>sprint-17</t>
        </is>
      </c>
      <c r="I3721" t="inlineStr">
        <is>
          <t>merged</t>
        </is>
      </c>
      <c r="J3721" t="inlineStr">
        <is>
          <t>760e94ab3bf2cf0f2dd4de71b2f53aeef6b823cf</t>
        </is>
      </c>
      <c r="K3721">
        <f>HYPERLINK("http://gitlab.osmosys.co/incident-reporter/incident-reporter-app/-/merge_requests/1751#note_234731", "Changed")</f>
        <v/>
      </c>
      <c r="L3721" t="inlineStr">
        <is>
          <t>2025-07-11 00:19:48.382 IST</t>
        </is>
      </c>
      <c r="M3721" t="inlineStr">
        <is>
          <t>Vaibhav Varun</t>
        </is>
      </c>
      <c r="N3721" t="inlineStr">
        <is>
          <t>No</t>
        </is>
      </c>
      <c r="O3721" t="inlineStr">
        <is>
          <t>Yes</t>
        </is>
      </c>
      <c r="P3721" t="inlineStr">
        <is>
          <t>Soundariya B</t>
        </is>
      </c>
      <c r="Q3721" t="inlineStr">
        <is>
          <t>Bad</t>
        </is>
      </c>
    </row>
    <row r="3722">
      <c r="A3722" t="inlineStr">
        <is>
          <t>vaibhav.v</t>
        </is>
      </c>
      <c r="B3722" t="inlineStr">
        <is>
          <t>Vaibhav Varun</t>
        </is>
      </c>
      <c r="C3722" t="inlineStr">
        <is>
          <t>vaibhav.v@osmosys.co</t>
        </is>
      </c>
      <c r="D3722" t="inlineStr">
        <is>
          <t>incident-reporter</t>
        </is>
      </c>
      <c r="E3722">
        <f>HYPERLINK("http://gitlab.osmosys.co/incident-reporter/incident-reporter-app", "OQSHA Mobile App")</f>
        <v/>
      </c>
      <c r="F3722">
        <f>HYPERLINK("http://gitlab.osmosys.co/incident-reporter/incident-reporter-app/-/merge_requests/1751", "feat: add audit list")</f>
        <v/>
      </c>
      <c r="G3722" t="inlineStr">
        <is>
          <t>feat/audit-list</t>
        </is>
      </c>
      <c r="H3722" t="inlineStr">
        <is>
          <t>sprint-17</t>
        </is>
      </c>
      <c r="I3722" t="inlineStr">
        <is>
          <t>merged</t>
        </is>
      </c>
      <c r="J3722" t="inlineStr">
        <is>
          <t>f63d163aedb2c791c666589ad5c5646f4379eca4</t>
        </is>
      </c>
      <c r="K3722">
        <f>HYPERLINK("http://gitlab.osmosys.co/incident-reporter/incident-reporter-app/-/merge_requests/1751#note_234427", "It should be btn-next")</f>
        <v/>
      </c>
      <c r="L3722" t="inlineStr">
        <is>
          <t>2025-07-10 19:15:04.930 IST</t>
        </is>
      </c>
      <c r="M3722" t="inlineStr">
        <is>
          <t>Soundariya B</t>
        </is>
      </c>
      <c r="N3722" t="inlineStr">
        <is>
          <t>Yes</t>
        </is>
      </c>
      <c r="O3722" t="inlineStr">
        <is>
          <t>Yes</t>
        </is>
      </c>
      <c r="P3722" t="inlineStr">
        <is>
          <t>Soundariya B</t>
        </is>
      </c>
      <c r="Q3722" t="inlineStr">
        <is>
          <t>Bad</t>
        </is>
      </c>
    </row>
    <row r="3723">
      <c r="A3723" t="inlineStr">
        <is>
          <t>vaibhav.v</t>
        </is>
      </c>
      <c r="B3723" t="inlineStr">
        <is>
          <t>Vaibhav Varun</t>
        </is>
      </c>
      <c r="C3723" t="inlineStr">
        <is>
          <t>vaibhav.v@osmosys.co</t>
        </is>
      </c>
      <c r="D3723" t="inlineStr">
        <is>
          <t>incident-reporter</t>
        </is>
      </c>
      <c r="E3723">
        <f>HYPERLINK("http://gitlab.osmosys.co/incident-reporter/incident-reporter-app", "OQSHA Mobile App")</f>
        <v/>
      </c>
      <c r="F3723">
        <f>HYPERLINK("http://gitlab.osmosys.co/incident-reporter/incident-reporter-app/-/merge_requests/1751", "feat: add audit list")</f>
        <v/>
      </c>
      <c r="G3723" t="inlineStr">
        <is>
          <t>feat/audit-list</t>
        </is>
      </c>
      <c r="H3723" t="inlineStr">
        <is>
          <t>sprint-17</t>
        </is>
      </c>
      <c r="I3723" t="inlineStr">
        <is>
          <t>merged</t>
        </is>
      </c>
      <c r="J3723" t="inlineStr">
        <is>
          <t>f63d163aedb2c791c666589ad5c5646f4379eca4</t>
        </is>
      </c>
      <c r="K3723">
        <f>HYPERLINK("http://gitlab.osmosys.co/incident-reporter/incident-reporter-app/-/merge_requests/1751#note_234733", "removed")</f>
        <v/>
      </c>
      <c r="L3723" t="inlineStr">
        <is>
          <t>2025-07-11 00:22:37.347 IST</t>
        </is>
      </c>
      <c r="M3723" t="inlineStr">
        <is>
          <t>Vaibhav Varun</t>
        </is>
      </c>
      <c r="N3723" t="inlineStr">
        <is>
          <t>No</t>
        </is>
      </c>
      <c r="O3723" t="inlineStr">
        <is>
          <t>Yes</t>
        </is>
      </c>
      <c r="P3723" t="inlineStr">
        <is>
          <t>Soundariya B</t>
        </is>
      </c>
      <c r="Q3723" t="inlineStr">
        <is>
          <t>Bad</t>
        </is>
      </c>
    </row>
    <row r="3724">
      <c r="A3724" t="inlineStr">
        <is>
          <t>vaibhav.v</t>
        </is>
      </c>
      <c r="B3724" t="inlineStr">
        <is>
          <t>Vaibhav Varun</t>
        </is>
      </c>
      <c r="C3724" t="inlineStr">
        <is>
          <t>vaibhav.v@osmosys.co</t>
        </is>
      </c>
      <c r="D3724" t="inlineStr">
        <is>
          <t>incident-reporter</t>
        </is>
      </c>
      <c r="E3724">
        <f>HYPERLINK("http://gitlab.osmosys.co/incident-reporter/incident-reporter-app", "OQSHA Mobile App")</f>
        <v/>
      </c>
      <c r="F3724">
        <f>HYPERLINK("http://gitlab.osmosys.co/incident-reporter/incident-reporter-app/-/merge_requests/1751", "feat: add audit list")</f>
        <v/>
      </c>
      <c r="G3724" t="inlineStr">
        <is>
          <t>feat/audit-list</t>
        </is>
      </c>
      <c r="H3724" t="inlineStr">
        <is>
          <t>sprint-17</t>
        </is>
      </c>
      <c r="I3724" t="inlineStr">
        <is>
          <t>merged</t>
        </is>
      </c>
      <c r="J3724" t="inlineStr">
        <is>
          <t>835c734144f254f26beec4c75161b88b552b78ef</t>
        </is>
      </c>
      <c r="K3724">
        <f>HYPERLINK("http://gitlab.osmosys.co/incident-reporter/incident-reporter-app/-/merge_requests/1751#note_234428", "It should be - lbl-filter")</f>
        <v/>
      </c>
      <c r="L3724" t="inlineStr">
        <is>
          <t>2025-07-10 19:15:04.985 IST</t>
        </is>
      </c>
      <c r="M3724" t="inlineStr">
        <is>
          <t>Soundariya B</t>
        </is>
      </c>
      <c r="N3724" t="inlineStr">
        <is>
          <t>Yes</t>
        </is>
      </c>
      <c r="O3724" t="inlineStr">
        <is>
          <t>Yes</t>
        </is>
      </c>
      <c r="P3724" t="inlineStr">
        <is>
          <t>Soundariya B</t>
        </is>
      </c>
      <c r="Q3724" t="inlineStr">
        <is>
          <t>Bad</t>
        </is>
      </c>
    </row>
    <row r="3725">
      <c r="A3725" t="inlineStr">
        <is>
          <t>vaibhav.v</t>
        </is>
      </c>
      <c r="B3725" t="inlineStr">
        <is>
          <t>Vaibhav Varun</t>
        </is>
      </c>
      <c r="C3725" t="inlineStr">
        <is>
          <t>vaibhav.v@osmosys.co</t>
        </is>
      </c>
      <c r="D3725" t="inlineStr">
        <is>
          <t>incident-reporter</t>
        </is>
      </c>
      <c r="E3725">
        <f>HYPERLINK("http://gitlab.osmosys.co/incident-reporter/incident-reporter-app", "OQSHA Mobile App")</f>
        <v/>
      </c>
      <c r="F3725">
        <f>HYPERLINK("http://gitlab.osmosys.co/incident-reporter/incident-reporter-app/-/merge_requests/1751", "feat: add audit list")</f>
        <v/>
      </c>
      <c r="G3725" t="inlineStr">
        <is>
          <t>feat/audit-list</t>
        </is>
      </c>
      <c r="H3725" t="inlineStr">
        <is>
          <t>sprint-17</t>
        </is>
      </c>
      <c r="I3725" t="inlineStr">
        <is>
          <t>merged</t>
        </is>
      </c>
      <c r="J3725" t="inlineStr">
        <is>
          <t>835c734144f254f26beec4c75161b88b552b78ef</t>
        </is>
      </c>
      <c r="K3725">
        <f>HYPERLINK("http://gitlab.osmosys.co/incident-reporter/incident-reporter-app/-/merge_requests/1751#note_234734", "Changed")</f>
        <v/>
      </c>
      <c r="L3725" t="inlineStr">
        <is>
          <t>2025-07-11 00:23:32.438 IST</t>
        </is>
      </c>
      <c r="M3725" t="inlineStr">
        <is>
          <t>Vaibhav Varun</t>
        </is>
      </c>
      <c r="N3725" t="inlineStr">
        <is>
          <t>No</t>
        </is>
      </c>
      <c r="O3725" t="inlineStr">
        <is>
          <t>Yes</t>
        </is>
      </c>
      <c r="P3725" t="inlineStr">
        <is>
          <t>Soundariya B</t>
        </is>
      </c>
      <c r="Q3725" t="inlineStr">
        <is>
          <t>Bad</t>
        </is>
      </c>
    </row>
    <row r="3726">
      <c r="A3726" t="inlineStr">
        <is>
          <t>vaibhav.v</t>
        </is>
      </c>
      <c r="B3726" t="inlineStr">
        <is>
          <t>Vaibhav Varun</t>
        </is>
      </c>
      <c r="C3726" t="inlineStr">
        <is>
          <t>vaibhav.v@osmosys.co</t>
        </is>
      </c>
      <c r="D3726" t="inlineStr">
        <is>
          <t>incident-reporter</t>
        </is>
      </c>
      <c r="E3726">
        <f>HYPERLINK("http://gitlab.osmosys.co/incident-reporter/incident-reporter-app", "OQSHA Mobile App")</f>
        <v/>
      </c>
      <c r="F3726">
        <f>HYPERLINK("http://gitlab.osmosys.co/incident-reporter/incident-reporter-app/-/merge_requests/1751", "feat: add audit list")</f>
        <v/>
      </c>
      <c r="G3726" t="inlineStr">
        <is>
          <t>feat/audit-list</t>
        </is>
      </c>
      <c r="H3726" t="inlineStr">
        <is>
          <t>sprint-17</t>
        </is>
      </c>
      <c r="I3726" t="inlineStr">
        <is>
          <t>merged</t>
        </is>
      </c>
      <c r="J3726" t="inlineStr">
        <is>
          <t>09e1592237bc310766ec0116664874983f292a8c</t>
        </is>
      </c>
      <c r="K3726">
        <f>HYPERLINK("http://gitlab.osmosys.co/incident-reporter/incident-reporter-app/-/merge_requests/1751#note_234429", "It should be - lbl-filter")</f>
        <v/>
      </c>
      <c r="L3726" t="inlineStr">
        <is>
          <t>2025-07-10 19:15:05.039 IST</t>
        </is>
      </c>
      <c r="M3726" t="inlineStr">
        <is>
          <t>Soundariya B</t>
        </is>
      </c>
      <c r="N3726" t="inlineStr">
        <is>
          <t>Yes</t>
        </is>
      </c>
      <c r="O3726" t="inlineStr">
        <is>
          <t>Yes</t>
        </is>
      </c>
      <c r="P3726" t="inlineStr">
        <is>
          <t>Soundariya B</t>
        </is>
      </c>
      <c r="Q3726" t="inlineStr">
        <is>
          <t>Bad</t>
        </is>
      </c>
    </row>
    <row r="3727">
      <c r="A3727" t="inlineStr">
        <is>
          <t>vaibhav.v</t>
        </is>
      </c>
      <c r="B3727" t="inlineStr">
        <is>
          <t>Vaibhav Varun</t>
        </is>
      </c>
      <c r="C3727" t="inlineStr">
        <is>
          <t>vaibhav.v@osmosys.co</t>
        </is>
      </c>
      <c r="D3727" t="inlineStr">
        <is>
          <t>incident-reporter</t>
        </is>
      </c>
      <c r="E3727">
        <f>HYPERLINK("http://gitlab.osmosys.co/incident-reporter/incident-reporter-app", "OQSHA Mobile App")</f>
        <v/>
      </c>
      <c r="F3727">
        <f>HYPERLINK("http://gitlab.osmosys.co/incident-reporter/incident-reporter-app/-/merge_requests/1751", "feat: add audit list")</f>
        <v/>
      </c>
      <c r="G3727" t="inlineStr">
        <is>
          <t>feat/audit-list</t>
        </is>
      </c>
      <c r="H3727" t="inlineStr">
        <is>
          <t>sprint-17</t>
        </is>
      </c>
      <c r="I3727" t="inlineStr">
        <is>
          <t>merged</t>
        </is>
      </c>
      <c r="J3727" t="inlineStr">
        <is>
          <t>09e1592237bc310766ec0116664874983f292a8c</t>
        </is>
      </c>
      <c r="K3727">
        <f>HYPERLINK("http://gitlab.osmosys.co/incident-reporter/incident-reporter-app/-/merge_requests/1751#note_234735", "Changed")</f>
        <v/>
      </c>
      <c r="L3727" t="inlineStr">
        <is>
          <t>2025-07-11 00:23:35.701 IST</t>
        </is>
      </c>
      <c r="M3727" t="inlineStr">
        <is>
          <t>Vaibhav Varun</t>
        </is>
      </c>
      <c r="N3727" t="inlineStr">
        <is>
          <t>No</t>
        </is>
      </c>
      <c r="O3727" t="inlineStr">
        <is>
          <t>Yes</t>
        </is>
      </c>
      <c r="P3727" t="inlineStr">
        <is>
          <t>Soundariya B</t>
        </is>
      </c>
      <c r="Q3727" t="inlineStr">
        <is>
          <t>Bad</t>
        </is>
      </c>
    </row>
    <row r="3728">
      <c r="A3728" t="inlineStr">
        <is>
          <t>vaibhav.v</t>
        </is>
      </c>
      <c r="B3728" t="inlineStr">
        <is>
          <t>Vaibhav Varun</t>
        </is>
      </c>
      <c r="C3728" t="inlineStr">
        <is>
          <t>vaibhav.v@osmosys.co</t>
        </is>
      </c>
      <c r="D3728" t="inlineStr">
        <is>
          <t>incident-reporter</t>
        </is>
      </c>
      <c r="E3728">
        <f>HYPERLINK("http://gitlab.osmosys.co/incident-reporter/incident-reporter-app", "OQSHA Mobile App")</f>
        <v/>
      </c>
      <c r="F3728">
        <f>HYPERLINK("http://gitlab.osmosys.co/incident-reporter/incident-reporter-app/-/merge_requests/1751", "feat: add audit list")</f>
        <v/>
      </c>
      <c r="G3728" t="inlineStr">
        <is>
          <t>feat/audit-list</t>
        </is>
      </c>
      <c r="H3728" t="inlineStr">
        <is>
          <t>sprint-17</t>
        </is>
      </c>
      <c r="I3728" t="inlineStr">
        <is>
          <t>merged</t>
        </is>
      </c>
      <c r="J3728" t="inlineStr">
        <is>
          <t>027f9438f9224e1d5caafbf8ab5f157bd8ac8356</t>
        </is>
      </c>
      <c r="K3728">
        <f>HYPERLINK("http://gitlab.osmosys.co/incident-reporter/incident-reporter-app/-/merge_requests/1751#note_234430", "It should be - lbl-filter")</f>
        <v/>
      </c>
      <c r="L3728" t="inlineStr">
        <is>
          <t>2025-07-10 19:15:05.091 IST</t>
        </is>
      </c>
      <c r="M3728" t="inlineStr">
        <is>
          <t>Soundariya B</t>
        </is>
      </c>
      <c r="N3728" t="inlineStr">
        <is>
          <t>Yes</t>
        </is>
      </c>
      <c r="O3728" t="inlineStr">
        <is>
          <t>Yes</t>
        </is>
      </c>
      <c r="P3728" t="inlineStr">
        <is>
          <t>Soundariya B</t>
        </is>
      </c>
      <c r="Q3728" t="inlineStr">
        <is>
          <t>Bad</t>
        </is>
      </c>
    </row>
    <row r="3729">
      <c r="A3729" t="inlineStr">
        <is>
          <t>vaibhav.v</t>
        </is>
      </c>
      <c r="B3729" t="inlineStr">
        <is>
          <t>Vaibhav Varun</t>
        </is>
      </c>
      <c r="C3729" t="inlineStr">
        <is>
          <t>vaibhav.v@osmosys.co</t>
        </is>
      </c>
      <c r="D3729" t="inlineStr">
        <is>
          <t>incident-reporter</t>
        </is>
      </c>
      <c r="E3729">
        <f>HYPERLINK("http://gitlab.osmosys.co/incident-reporter/incident-reporter-app", "OQSHA Mobile App")</f>
        <v/>
      </c>
      <c r="F3729">
        <f>HYPERLINK("http://gitlab.osmosys.co/incident-reporter/incident-reporter-app/-/merge_requests/1751", "feat: add audit list")</f>
        <v/>
      </c>
      <c r="G3729" t="inlineStr">
        <is>
          <t>feat/audit-list</t>
        </is>
      </c>
      <c r="H3729" t="inlineStr">
        <is>
          <t>sprint-17</t>
        </is>
      </c>
      <c r="I3729" t="inlineStr">
        <is>
          <t>merged</t>
        </is>
      </c>
      <c r="J3729" t="inlineStr">
        <is>
          <t>027f9438f9224e1d5caafbf8ab5f157bd8ac8356</t>
        </is>
      </c>
      <c r="K3729">
        <f>HYPERLINK("http://gitlab.osmosys.co/incident-reporter/incident-reporter-app/-/merge_requests/1751#note_234736", "Changed")</f>
        <v/>
      </c>
      <c r="L3729" t="inlineStr">
        <is>
          <t>2025-07-11 00:23:38.450 IST</t>
        </is>
      </c>
      <c r="M3729" t="inlineStr">
        <is>
          <t>Vaibhav Varun</t>
        </is>
      </c>
      <c r="N3729" t="inlineStr">
        <is>
          <t>No</t>
        </is>
      </c>
      <c r="O3729" t="inlineStr">
        <is>
          <t>Yes</t>
        </is>
      </c>
      <c r="P3729" t="inlineStr">
        <is>
          <t>Soundariya B</t>
        </is>
      </c>
      <c r="Q3729" t="inlineStr">
        <is>
          <t>Bad</t>
        </is>
      </c>
    </row>
    <row r="3730">
      <c r="A3730" t="inlineStr">
        <is>
          <t>vaibhav.v</t>
        </is>
      </c>
      <c r="B3730" t="inlineStr">
        <is>
          <t>Vaibhav Varun</t>
        </is>
      </c>
      <c r="C3730" t="inlineStr">
        <is>
          <t>vaibhav.v@osmosys.co</t>
        </is>
      </c>
      <c r="D3730" t="inlineStr">
        <is>
          <t>incident-reporter</t>
        </is>
      </c>
      <c r="E3730">
        <f>HYPERLINK("http://gitlab.osmosys.co/incident-reporter/incident-reporter-app", "OQSHA Mobile App")</f>
        <v/>
      </c>
      <c r="F3730">
        <f>HYPERLINK("http://gitlab.osmosys.co/incident-reporter/incident-reporter-app/-/merge_requests/1751", "feat: add audit list")</f>
        <v/>
      </c>
      <c r="G3730" t="inlineStr">
        <is>
          <t>feat/audit-list</t>
        </is>
      </c>
      <c r="H3730" t="inlineStr">
        <is>
          <t>sprint-17</t>
        </is>
      </c>
      <c r="I3730" t="inlineStr">
        <is>
          <t>merged</t>
        </is>
      </c>
      <c r="J3730" t="inlineStr">
        <is>
          <t>b961cb6922442d766884131758dc9207016b591f</t>
        </is>
      </c>
      <c r="K3730">
        <f>HYPERLINK("http://gitlab.osmosys.co/incident-reporter/incident-reporter-app/-/merge_requests/1751#note_234431", "It should be - lbl-filter")</f>
        <v/>
      </c>
      <c r="L3730" t="inlineStr">
        <is>
          <t>2025-07-10 19:15:05.147 IST</t>
        </is>
      </c>
      <c r="M3730" t="inlineStr">
        <is>
          <t>Soundariya B</t>
        </is>
      </c>
      <c r="N3730" t="inlineStr">
        <is>
          <t>Yes</t>
        </is>
      </c>
      <c r="O3730" t="inlineStr">
        <is>
          <t>Yes</t>
        </is>
      </c>
      <c r="P3730" t="inlineStr">
        <is>
          <t>Soundariya B</t>
        </is>
      </c>
      <c r="Q3730" t="inlineStr">
        <is>
          <t>Bad</t>
        </is>
      </c>
    </row>
    <row r="3731">
      <c r="A3731" t="inlineStr">
        <is>
          <t>vaibhav.v</t>
        </is>
      </c>
      <c r="B3731" t="inlineStr">
        <is>
          <t>Vaibhav Varun</t>
        </is>
      </c>
      <c r="C3731" t="inlineStr">
        <is>
          <t>vaibhav.v@osmosys.co</t>
        </is>
      </c>
      <c r="D3731" t="inlineStr">
        <is>
          <t>incident-reporter</t>
        </is>
      </c>
      <c r="E3731">
        <f>HYPERLINK("http://gitlab.osmosys.co/incident-reporter/incident-reporter-app", "OQSHA Mobile App")</f>
        <v/>
      </c>
      <c r="F3731">
        <f>HYPERLINK("http://gitlab.osmosys.co/incident-reporter/incident-reporter-app/-/merge_requests/1751", "feat: add audit list")</f>
        <v/>
      </c>
      <c r="G3731" t="inlineStr">
        <is>
          <t>feat/audit-list</t>
        </is>
      </c>
      <c r="H3731" t="inlineStr">
        <is>
          <t>sprint-17</t>
        </is>
      </c>
      <c r="I3731" t="inlineStr">
        <is>
          <t>merged</t>
        </is>
      </c>
      <c r="J3731" t="inlineStr">
        <is>
          <t>b961cb6922442d766884131758dc9207016b591f</t>
        </is>
      </c>
      <c r="K3731">
        <f>HYPERLINK("http://gitlab.osmosys.co/incident-reporter/incident-reporter-app/-/merge_requests/1751#note_234737", "Changed")</f>
        <v/>
      </c>
      <c r="L3731" t="inlineStr">
        <is>
          <t>2025-07-11 00:23:41.728 IST</t>
        </is>
      </c>
      <c r="M3731" t="inlineStr">
        <is>
          <t>Vaibhav Varun</t>
        </is>
      </c>
      <c r="N3731" t="inlineStr">
        <is>
          <t>No</t>
        </is>
      </c>
      <c r="O3731" t="inlineStr">
        <is>
          <t>Yes</t>
        </is>
      </c>
      <c r="P3731" t="inlineStr">
        <is>
          <t>Soundariya B</t>
        </is>
      </c>
      <c r="Q3731" t="inlineStr">
        <is>
          <t>Bad</t>
        </is>
      </c>
    </row>
    <row r="3732">
      <c r="A3732" t="inlineStr">
        <is>
          <t>vaibhav.v</t>
        </is>
      </c>
      <c r="B3732" t="inlineStr">
        <is>
          <t>Vaibhav Varun</t>
        </is>
      </c>
      <c r="C3732" t="inlineStr">
        <is>
          <t>vaibhav.v@osmosys.co</t>
        </is>
      </c>
      <c r="D3732" t="inlineStr">
        <is>
          <t>incident-reporter</t>
        </is>
      </c>
      <c r="E3732">
        <f>HYPERLINK("http://gitlab.osmosys.co/incident-reporter/incident-reporter-app", "OQSHA Mobile App")</f>
        <v/>
      </c>
      <c r="F3732">
        <f>HYPERLINK("http://gitlab.osmosys.co/incident-reporter/incident-reporter-app/-/merge_requests/1751", "feat: add audit list")</f>
        <v/>
      </c>
      <c r="G3732" t="inlineStr">
        <is>
          <t>feat/audit-list</t>
        </is>
      </c>
      <c r="H3732" t="inlineStr">
        <is>
          <t>sprint-17</t>
        </is>
      </c>
      <c r="I3732" t="inlineStr">
        <is>
          <t>merged</t>
        </is>
      </c>
      <c r="J3732" t="inlineStr">
        <is>
          <t>62f0f46e5f18ae71479aa2ec1b48c891b84d0c59</t>
        </is>
      </c>
      <c r="K3732">
        <f>HYPERLINK("http://gitlab.osmosys.co/incident-reporter/incident-reporter-app/-/merge_requests/1751#note_234432", "It should be - lbl-filter")</f>
        <v/>
      </c>
      <c r="L3732" t="inlineStr">
        <is>
          <t>2025-07-10 19:15:05.204 IST</t>
        </is>
      </c>
      <c r="M3732" t="inlineStr">
        <is>
          <t>Soundariya B</t>
        </is>
      </c>
      <c r="N3732" t="inlineStr">
        <is>
          <t>Yes</t>
        </is>
      </c>
      <c r="O3732" t="inlineStr">
        <is>
          <t>Yes</t>
        </is>
      </c>
      <c r="P3732" t="inlineStr">
        <is>
          <t>Soundariya B</t>
        </is>
      </c>
      <c r="Q3732" t="inlineStr">
        <is>
          <t>Bad</t>
        </is>
      </c>
    </row>
    <row r="3733">
      <c r="A3733" t="inlineStr">
        <is>
          <t>vaibhav.v</t>
        </is>
      </c>
      <c r="B3733" t="inlineStr">
        <is>
          <t>Vaibhav Varun</t>
        </is>
      </c>
      <c r="C3733" t="inlineStr">
        <is>
          <t>vaibhav.v@osmosys.co</t>
        </is>
      </c>
      <c r="D3733" t="inlineStr">
        <is>
          <t>incident-reporter</t>
        </is>
      </c>
      <c r="E3733">
        <f>HYPERLINK("http://gitlab.osmosys.co/incident-reporter/incident-reporter-app", "OQSHA Mobile App")</f>
        <v/>
      </c>
      <c r="F3733">
        <f>HYPERLINK("http://gitlab.osmosys.co/incident-reporter/incident-reporter-app/-/merge_requests/1751", "feat: add audit list")</f>
        <v/>
      </c>
      <c r="G3733" t="inlineStr">
        <is>
          <t>feat/audit-list</t>
        </is>
      </c>
      <c r="H3733" t="inlineStr">
        <is>
          <t>sprint-17</t>
        </is>
      </c>
      <c r="I3733" t="inlineStr">
        <is>
          <t>merged</t>
        </is>
      </c>
      <c r="J3733" t="inlineStr">
        <is>
          <t>62f0f46e5f18ae71479aa2ec1b48c891b84d0c59</t>
        </is>
      </c>
      <c r="K3733">
        <f>HYPERLINK("http://gitlab.osmosys.co/incident-reporter/incident-reporter-app/-/merge_requests/1751#note_234738", "Changed")</f>
        <v/>
      </c>
      <c r="L3733" t="inlineStr">
        <is>
          <t>2025-07-11 00:23:44.417 IST</t>
        </is>
      </c>
      <c r="M3733" t="inlineStr">
        <is>
          <t>Vaibhav Varun</t>
        </is>
      </c>
      <c r="N3733" t="inlineStr">
        <is>
          <t>No</t>
        </is>
      </c>
      <c r="O3733" t="inlineStr">
        <is>
          <t>Yes</t>
        </is>
      </c>
      <c r="P3733" t="inlineStr">
        <is>
          <t>Soundariya B</t>
        </is>
      </c>
      <c r="Q3733" t="inlineStr">
        <is>
          <t>Bad</t>
        </is>
      </c>
    </row>
    <row r="3734">
      <c r="A3734" t="inlineStr">
        <is>
          <t>vaibhav.v</t>
        </is>
      </c>
      <c r="B3734" t="inlineStr">
        <is>
          <t>Vaibhav Varun</t>
        </is>
      </c>
      <c r="C3734" t="inlineStr">
        <is>
          <t>vaibhav.v@osmosys.co</t>
        </is>
      </c>
      <c r="D3734" t="inlineStr">
        <is>
          <t>incident-reporter</t>
        </is>
      </c>
      <c r="E3734">
        <f>HYPERLINK("http://gitlab.osmosys.co/incident-reporter/incident-reporter-app", "OQSHA Mobile App")</f>
        <v/>
      </c>
      <c r="F3734">
        <f>HYPERLINK("http://gitlab.osmosys.co/incident-reporter/incident-reporter-app/-/merge_requests/1751", "feat: add audit list")</f>
        <v/>
      </c>
      <c r="G3734" t="inlineStr">
        <is>
          <t>feat/audit-list</t>
        </is>
      </c>
      <c r="H3734" t="inlineStr">
        <is>
          <t>sprint-17</t>
        </is>
      </c>
      <c r="I3734" t="inlineStr">
        <is>
          <t>merged</t>
        </is>
      </c>
      <c r="J3734" t="inlineStr">
        <is>
          <t>809036fd90e75ad3bd4c94ab1fbec386f12055c6</t>
        </is>
      </c>
      <c r="K3734">
        <f>HYPERLINK("http://gitlab.osmosys.co/incident-reporter/incident-reporter-app/-/merge_requests/1751#note_234433", "It should take from lang files")</f>
        <v/>
      </c>
      <c r="L3734" t="inlineStr">
        <is>
          <t>2025-07-10 19:15:05.261 IST</t>
        </is>
      </c>
      <c r="M3734" t="inlineStr">
        <is>
          <t>Soundariya B</t>
        </is>
      </c>
      <c r="N3734" t="inlineStr">
        <is>
          <t>Yes</t>
        </is>
      </c>
      <c r="O3734" t="inlineStr">
        <is>
          <t>Yes</t>
        </is>
      </c>
      <c r="P3734" t="inlineStr">
        <is>
          <t>Soundariya B</t>
        </is>
      </c>
      <c r="Q3734" t="inlineStr">
        <is>
          <t>Bad</t>
        </is>
      </c>
    </row>
    <row r="3735">
      <c r="A3735" t="inlineStr">
        <is>
          <t>vaibhav.v</t>
        </is>
      </c>
      <c r="B3735" t="inlineStr">
        <is>
          <t>Vaibhav Varun</t>
        </is>
      </c>
      <c r="C3735" t="inlineStr">
        <is>
          <t>vaibhav.v@osmosys.co</t>
        </is>
      </c>
      <c r="D3735" t="inlineStr">
        <is>
          <t>incident-reporter</t>
        </is>
      </c>
      <c r="E3735">
        <f>HYPERLINK("http://gitlab.osmosys.co/incident-reporter/incident-reporter-app", "OQSHA Mobile App")</f>
        <v/>
      </c>
      <c r="F3735">
        <f>HYPERLINK("http://gitlab.osmosys.co/incident-reporter/incident-reporter-app/-/merge_requests/1751", "feat: add audit list")</f>
        <v/>
      </c>
      <c r="G3735" t="inlineStr">
        <is>
          <t>feat/audit-list</t>
        </is>
      </c>
      <c r="H3735" t="inlineStr">
        <is>
          <t>sprint-17</t>
        </is>
      </c>
      <c r="I3735" t="inlineStr">
        <is>
          <t>merged</t>
        </is>
      </c>
      <c r="J3735" t="inlineStr">
        <is>
          <t>809036fd90e75ad3bd4c94ab1fbec386f12055c6</t>
        </is>
      </c>
      <c r="K3735">
        <f>HYPERLINK("http://gitlab.osmosys.co/incident-reporter/incident-reporter-app/-/merge_requests/1751#note_234750", "Changed")</f>
        <v/>
      </c>
      <c r="L3735" t="inlineStr">
        <is>
          <t>2025-07-11 00:31:17.320 IST</t>
        </is>
      </c>
      <c r="M3735" t="inlineStr">
        <is>
          <t>Vaibhav Varun</t>
        </is>
      </c>
      <c r="N3735" t="inlineStr">
        <is>
          <t>No</t>
        </is>
      </c>
      <c r="O3735" t="inlineStr">
        <is>
          <t>Yes</t>
        </is>
      </c>
      <c r="P3735" t="inlineStr">
        <is>
          <t>Soundariya B</t>
        </is>
      </c>
      <c r="Q3735" t="inlineStr">
        <is>
          <t>Bad</t>
        </is>
      </c>
    </row>
    <row r="3736">
      <c r="A3736" t="inlineStr">
        <is>
          <t>vaibhav.v</t>
        </is>
      </c>
      <c r="B3736" t="inlineStr">
        <is>
          <t>Vaibhav Varun</t>
        </is>
      </c>
      <c r="C3736" t="inlineStr">
        <is>
          <t>vaibhav.v@osmosys.co</t>
        </is>
      </c>
      <c r="D3736" t="inlineStr">
        <is>
          <t>incident-reporter</t>
        </is>
      </c>
      <c r="E3736">
        <f>HYPERLINK("http://gitlab.osmosys.co/incident-reporter/incident-reporter-app", "OQSHA Mobile App")</f>
        <v/>
      </c>
      <c r="F3736">
        <f>HYPERLINK("http://gitlab.osmosys.co/incident-reporter/incident-reporter-app/-/merge_requests/1751", "feat: add audit list")</f>
        <v/>
      </c>
      <c r="G3736" t="inlineStr">
        <is>
          <t>feat/audit-list</t>
        </is>
      </c>
      <c r="H3736" t="inlineStr">
        <is>
          <t>sprint-17</t>
        </is>
      </c>
      <c r="I3736" t="inlineStr">
        <is>
          <t>merged</t>
        </is>
      </c>
      <c r="J3736" t="inlineStr">
        <is>
          <t>30292b09c1554b8fb0e97ba6c007b77836e7994c</t>
        </is>
      </c>
      <c r="K3736">
        <f>HYPERLINK("http://gitlab.osmosys.co/incident-reporter/incident-reporter-app/-/merge_requests/1751#note_234434", "It should take from lang files")</f>
        <v/>
      </c>
      <c r="L3736" t="inlineStr">
        <is>
          <t>2025-07-10 19:15:05.317 IST</t>
        </is>
      </c>
      <c r="M3736" t="inlineStr">
        <is>
          <t>Soundariya B</t>
        </is>
      </c>
      <c r="N3736" t="inlineStr">
        <is>
          <t>Yes</t>
        </is>
      </c>
      <c r="O3736" t="inlineStr">
        <is>
          <t>Yes</t>
        </is>
      </c>
      <c r="P3736" t="inlineStr">
        <is>
          <t>Soundariya B</t>
        </is>
      </c>
      <c r="Q3736" t="inlineStr">
        <is>
          <t>Bad</t>
        </is>
      </c>
    </row>
    <row r="3737">
      <c r="A3737" t="inlineStr">
        <is>
          <t>vaibhav.v</t>
        </is>
      </c>
      <c r="B3737" t="inlineStr">
        <is>
          <t>Vaibhav Varun</t>
        </is>
      </c>
      <c r="C3737" t="inlineStr">
        <is>
          <t>vaibhav.v@osmosys.co</t>
        </is>
      </c>
      <c r="D3737" t="inlineStr">
        <is>
          <t>incident-reporter</t>
        </is>
      </c>
      <c r="E3737">
        <f>HYPERLINK("http://gitlab.osmosys.co/incident-reporter/incident-reporter-app", "OQSHA Mobile App")</f>
        <v/>
      </c>
      <c r="F3737">
        <f>HYPERLINK("http://gitlab.osmosys.co/incident-reporter/incident-reporter-app/-/merge_requests/1751", "feat: add audit list")</f>
        <v/>
      </c>
      <c r="G3737" t="inlineStr">
        <is>
          <t>feat/audit-list</t>
        </is>
      </c>
      <c r="H3737" t="inlineStr">
        <is>
          <t>sprint-17</t>
        </is>
      </c>
      <c r="I3737" t="inlineStr">
        <is>
          <t>merged</t>
        </is>
      </c>
      <c r="J3737" t="inlineStr">
        <is>
          <t>30292b09c1554b8fb0e97ba6c007b77836e7994c</t>
        </is>
      </c>
      <c r="K3737">
        <f>HYPERLINK("http://gitlab.osmosys.co/incident-reporter/incident-reporter-app/-/merge_requests/1751#note_234751", "Changed")</f>
        <v/>
      </c>
      <c r="L3737" t="inlineStr">
        <is>
          <t>2025-07-11 00:31:23.586 IST</t>
        </is>
      </c>
      <c r="M3737" t="inlineStr">
        <is>
          <t>Vaibhav Varun</t>
        </is>
      </c>
      <c r="N3737" t="inlineStr">
        <is>
          <t>No</t>
        </is>
      </c>
      <c r="O3737" t="inlineStr">
        <is>
          <t>Yes</t>
        </is>
      </c>
      <c r="P3737" t="inlineStr">
        <is>
          <t>Soundariya B</t>
        </is>
      </c>
      <c r="Q3737" t="inlineStr">
        <is>
          <t>Bad</t>
        </is>
      </c>
    </row>
    <row r="3738">
      <c r="A3738" t="inlineStr">
        <is>
          <t>vaibhav.v</t>
        </is>
      </c>
      <c r="B3738" t="inlineStr">
        <is>
          <t>Vaibhav Varun</t>
        </is>
      </c>
      <c r="C3738" t="inlineStr">
        <is>
          <t>vaibhav.v@osmosys.co</t>
        </is>
      </c>
      <c r="D3738" t="inlineStr">
        <is>
          <t>incident-reporter</t>
        </is>
      </c>
      <c r="E3738">
        <f>HYPERLINK("http://gitlab.osmosys.co/incident-reporter/incident-reporter-app", "OQSHA Mobile App")</f>
        <v/>
      </c>
      <c r="F3738">
        <f>HYPERLINK("http://gitlab.osmosys.co/incident-reporter/incident-reporter-app/-/merge_requests/1748", "feat: add department in ptw.")</f>
        <v/>
      </c>
      <c r="G3738" t="inlineStr">
        <is>
          <t>feat/add-department</t>
        </is>
      </c>
      <c r="H3738" t="inlineStr">
        <is>
          <t>sprint-17</t>
        </is>
      </c>
      <c r="I3738" t="inlineStr">
        <is>
          <t>merged</t>
        </is>
      </c>
      <c r="J3738" t="inlineStr">
        <is>
          <t>3724cb6ff694536b36902b755c8301b2d934ca87</t>
        </is>
      </c>
      <c r="K3738">
        <f>HYPERLINK("http://gitlab.osmosys.co/incident-reporter/incident-reporter-app/-/merge_requests/1748#note_234808", "![image.png](/uploads/62b274b9b67a538c336dafdd3f611a96/image.png)")</f>
        <v/>
      </c>
      <c r="L3738" t="inlineStr">
        <is>
          <t>2025-07-11 01:02:18.608 IST</t>
        </is>
      </c>
      <c r="M3738" t="inlineStr">
        <is>
          <t>Soundariya B</t>
        </is>
      </c>
      <c r="N3738" t="inlineStr">
        <is>
          <t>Yes</t>
        </is>
      </c>
      <c r="O3738" t="inlineStr">
        <is>
          <t>Yes</t>
        </is>
      </c>
      <c r="P3738" t="inlineStr">
        <is>
          <t>Raj Kumar</t>
        </is>
      </c>
      <c r="Q3738" t="inlineStr">
        <is>
          <t>Neutral</t>
        </is>
      </c>
    </row>
    <row r="3739">
      <c r="A3739" t="inlineStr">
        <is>
          <t>vaibhav.v</t>
        </is>
      </c>
      <c r="B3739" t="inlineStr">
        <is>
          <t>Vaibhav Varun</t>
        </is>
      </c>
      <c r="C3739" t="inlineStr">
        <is>
          <t>vaibhav.v@osmosys.co</t>
        </is>
      </c>
      <c r="D3739" t="inlineStr">
        <is>
          <t>incident-reporter</t>
        </is>
      </c>
      <c r="E3739">
        <f>HYPERLINK("http://gitlab.osmosys.co/incident-reporter/incident-reporter-app", "OQSHA Mobile App")</f>
        <v/>
      </c>
      <c r="F3739">
        <f>HYPERLINK("http://gitlab.osmosys.co/incident-reporter/incident-reporter-app/-/merge_requests/1748", "feat: add department in ptw.")</f>
        <v/>
      </c>
      <c r="G3739" t="inlineStr">
        <is>
          <t>feat/add-department</t>
        </is>
      </c>
      <c r="H3739" t="inlineStr">
        <is>
          <t>sprint-17</t>
        </is>
      </c>
      <c r="I3739" t="inlineStr">
        <is>
          <t>merged</t>
        </is>
      </c>
      <c r="J3739" t="inlineStr">
        <is>
          <t>3724cb6ff694536b36902b755c8301b2d934ca87</t>
        </is>
      </c>
      <c r="K3739">
        <f>HYPERLINK("http://gitlab.osmosys.co/incident-reporter/incident-reporter-app/-/merge_requests/1748#note_234883", "Single organisation so keeping as organisation, close doesn't have any space and I didn't touch it, so keeping it as it is.  
![image](/uploads/bb71566ee8fd3b8844c143c3f5eb675a/image.png)")</f>
        <v/>
      </c>
      <c r="L3739" t="inlineStr">
        <is>
          <t>2025-07-11 08:21:02.775 IST</t>
        </is>
      </c>
      <c r="M3739" t="inlineStr">
        <is>
          <t>Vaibhav Varun</t>
        </is>
      </c>
      <c r="N3739" t="inlineStr">
        <is>
          <t>No</t>
        </is>
      </c>
      <c r="O3739" t="inlineStr">
        <is>
          <t>Yes</t>
        </is>
      </c>
      <c r="P3739" t="inlineStr">
        <is>
          <t>Raj Kumar</t>
        </is>
      </c>
      <c r="Q3739" t="inlineStr">
        <is>
          <t>Neutral</t>
        </is>
      </c>
    </row>
    <row r="3740">
      <c r="A3740" t="inlineStr">
        <is>
          <t>vaibhav.v</t>
        </is>
      </c>
      <c r="B3740" t="inlineStr">
        <is>
          <t>Vaibhav Varun</t>
        </is>
      </c>
      <c r="C3740" t="inlineStr">
        <is>
          <t>vaibhav.v@osmosys.co</t>
        </is>
      </c>
      <c r="D3740" t="inlineStr">
        <is>
          <t>incident-reporter</t>
        </is>
      </c>
      <c r="E3740">
        <f>HYPERLINK("http://gitlab.osmosys.co/incident-reporter/incident-reporter-app", "OQSHA Mobile App")</f>
        <v/>
      </c>
      <c r="F3740">
        <f>HYPERLINK("http://gitlab.osmosys.co/incident-reporter/incident-reporter-app/-/merge_requests/1748", "feat: add department in ptw.")</f>
        <v/>
      </c>
      <c r="G3740" t="inlineStr">
        <is>
          <t>feat/add-department</t>
        </is>
      </c>
      <c r="H3740" t="inlineStr">
        <is>
          <t>sprint-17</t>
        </is>
      </c>
      <c r="I3740" t="inlineStr">
        <is>
          <t>merged</t>
        </is>
      </c>
      <c r="J3740" t="inlineStr">
        <is>
          <t>ab73ef01f848551a62ced72954e9d549cb513235</t>
        </is>
      </c>
      <c r="K3740">
        <f>HYPERLINK("http://gitlab.osmosys.co/incident-reporter/incident-reporter-app/-/merge_requests/1748#note_234809", "It should be lbl-filter")</f>
        <v/>
      </c>
      <c r="L3740" t="inlineStr">
        <is>
          <t>2025-07-11 01:02:18.678 IST</t>
        </is>
      </c>
      <c r="M3740" t="inlineStr">
        <is>
          <t>Soundariya B</t>
        </is>
      </c>
      <c r="N3740" t="inlineStr">
        <is>
          <t>Yes</t>
        </is>
      </c>
      <c r="O3740" t="inlineStr">
        <is>
          <t>Yes</t>
        </is>
      </c>
      <c r="P3740" t="inlineStr">
        <is>
          <t>Raj Kumar</t>
        </is>
      </c>
      <c r="Q3740" t="inlineStr">
        <is>
          <t>Bad</t>
        </is>
      </c>
    </row>
    <row r="3741">
      <c r="A3741" t="inlineStr">
        <is>
          <t>vaibhav.v</t>
        </is>
      </c>
      <c r="B3741" t="inlineStr">
        <is>
          <t>Vaibhav Varun</t>
        </is>
      </c>
      <c r="C3741" t="inlineStr">
        <is>
          <t>vaibhav.v@osmosys.co</t>
        </is>
      </c>
      <c r="D3741" t="inlineStr">
        <is>
          <t>incident-reporter</t>
        </is>
      </c>
      <c r="E3741">
        <f>HYPERLINK("http://gitlab.osmosys.co/incident-reporter/incident-reporter-app", "OQSHA Mobile App")</f>
        <v/>
      </c>
      <c r="F3741">
        <f>HYPERLINK("http://gitlab.osmosys.co/incident-reporter/incident-reporter-app/-/merge_requests/1748", "feat: add department in ptw.")</f>
        <v/>
      </c>
      <c r="G3741" t="inlineStr">
        <is>
          <t>feat/add-department</t>
        </is>
      </c>
      <c r="H3741" t="inlineStr">
        <is>
          <t>sprint-17</t>
        </is>
      </c>
      <c r="I3741" t="inlineStr">
        <is>
          <t>merged</t>
        </is>
      </c>
      <c r="J3741" t="inlineStr">
        <is>
          <t>ab73ef01f848551a62ced72954e9d549cb513235</t>
        </is>
      </c>
      <c r="K3741">
        <f>HYPERLINK("http://gitlab.osmosys.co/incident-reporter/incident-reporter-app/-/merge_requests/1748#note_234884", "Changed")</f>
        <v/>
      </c>
      <c r="L3741" t="inlineStr">
        <is>
          <t>2025-07-11 08:23:24.151 IST</t>
        </is>
      </c>
      <c r="M3741" t="inlineStr">
        <is>
          <t>Vaibhav Varun</t>
        </is>
      </c>
      <c r="N3741" t="inlineStr">
        <is>
          <t>No</t>
        </is>
      </c>
      <c r="O3741" t="inlineStr">
        <is>
          <t>Yes</t>
        </is>
      </c>
      <c r="P3741" t="inlineStr">
        <is>
          <t>Raj Kumar</t>
        </is>
      </c>
      <c r="Q3741" t="inlineStr">
        <is>
          <t>Bad</t>
        </is>
      </c>
    </row>
    <row r="3742">
      <c r="A3742" t="inlineStr">
        <is>
          <t>vaibhav.v</t>
        </is>
      </c>
      <c r="B3742" t="inlineStr">
        <is>
          <t>Vaibhav Varun</t>
        </is>
      </c>
      <c r="C3742" t="inlineStr">
        <is>
          <t>vaibhav.v@osmosys.co</t>
        </is>
      </c>
      <c r="D3742" t="inlineStr">
        <is>
          <t>incident-reporter</t>
        </is>
      </c>
      <c r="E3742">
        <f>HYPERLINK("http://gitlab.osmosys.co/incident-reporter/incident-reporter-app", "OQSHA Mobile App")</f>
        <v/>
      </c>
      <c r="F3742">
        <f>HYPERLINK("http://gitlab.osmosys.co/incident-reporter/incident-reporter-app/-/merge_requests/1748", "feat: add department in ptw.")</f>
        <v/>
      </c>
      <c r="G3742" t="inlineStr">
        <is>
          <t>feat/add-department</t>
        </is>
      </c>
      <c r="H3742" t="inlineStr">
        <is>
          <t>sprint-17</t>
        </is>
      </c>
      <c r="I3742" t="inlineStr">
        <is>
          <t>merged</t>
        </is>
      </c>
      <c r="J3742" t="inlineStr">
        <is>
          <t>08c309f68d5730d83a47ba873642bfb53eaf26ca</t>
        </is>
      </c>
      <c r="K3742">
        <f>HYPERLINK("http://gitlab.osmosys.co/incident-reporter/incident-reporter-app/-/merge_requests/1748#note_234810", "Declare the data type")</f>
        <v/>
      </c>
      <c r="L3742" t="inlineStr">
        <is>
          <t>2025-07-11 01:02:18.770 IST</t>
        </is>
      </c>
      <c r="M3742" t="inlineStr">
        <is>
          <t>Soundariya B</t>
        </is>
      </c>
      <c r="N3742" t="inlineStr">
        <is>
          <t>Yes</t>
        </is>
      </c>
      <c r="O3742" t="inlineStr">
        <is>
          <t>Yes</t>
        </is>
      </c>
      <c r="P3742" t="inlineStr">
        <is>
          <t>Raj Kumar</t>
        </is>
      </c>
      <c r="Q3742" t="inlineStr">
        <is>
          <t>Bad</t>
        </is>
      </c>
    </row>
    <row r="3743">
      <c r="A3743" t="inlineStr">
        <is>
          <t>vaibhav.v</t>
        </is>
      </c>
      <c r="B3743" t="inlineStr">
        <is>
          <t>Vaibhav Varun</t>
        </is>
      </c>
      <c r="C3743" t="inlineStr">
        <is>
          <t>vaibhav.v@osmosys.co</t>
        </is>
      </c>
      <c r="D3743" t="inlineStr">
        <is>
          <t>incident-reporter</t>
        </is>
      </c>
      <c r="E3743">
        <f>HYPERLINK("http://gitlab.osmosys.co/incident-reporter/incident-reporter-app", "OQSHA Mobile App")</f>
        <v/>
      </c>
      <c r="F3743">
        <f>HYPERLINK("http://gitlab.osmosys.co/incident-reporter/incident-reporter-app/-/merge_requests/1748", "feat: add department in ptw.")</f>
        <v/>
      </c>
      <c r="G3743" t="inlineStr">
        <is>
          <t>feat/add-department</t>
        </is>
      </c>
      <c r="H3743" t="inlineStr">
        <is>
          <t>sprint-17</t>
        </is>
      </c>
      <c r="I3743" t="inlineStr">
        <is>
          <t>merged</t>
        </is>
      </c>
      <c r="J3743" t="inlineStr">
        <is>
          <t>08c309f68d5730d83a47ba873642bfb53eaf26ca</t>
        </is>
      </c>
      <c r="K3743">
        <f>HYPERLINK("http://gitlab.osmosys.co/incident-reporter/incident-reporter-app/-/merge_requests/1748#note_234885", "DOne")</f>
        <v/>
      </c>
      <c r="L3743" t="inlineStr">
        <is>
          <t>2025-07-11 08:25:02.578 IST</t>
        </is>
      </c>
      <c r="M3743" t="inlineStr">
        <is>
          <t>Vaibhav Varun</t>
        </is>
      </c>
      <c r="N3743" t="inlineStr">
        <is>
          <t>No</t>
        </is>
      </c>
      <c r="O3743" t="inlineStr">
        <is>
          <t>Yes</t>
        </is>
      </c>
      <c r="P3743" t="inlineStr">
        <is>
          <t>Raj Kumar</t>
        </is>
      </c>
      <c r="Q3743" t="inlineStr">
        <is>
          <t>Bad</t>
        </is>
      </c>
    </row>
    <row r="3744">
      <c r="A3744" t="inlineStr">
        <is>
          <t>vaibhav.v</t>
        </is>
      </c>
      <c r="B3744" t="inlineStr">
        <is>
          <t>Vaibhav Varun</t>
        </is>
      </c>
      <c r="C3744" t="inlineStr">
        <is>
          <t>vaibhav.v@osmosys.co</t>
        </is>
      </c>
      <c r="D3744" t="inlineStr">
        <is>
          <t>incident-reporter</t>
        </is>
      </c>
      <c r="E3744">
        <f>HYPERLINK("http://gitlab.osmosys.co/incident-reporter/incident-reporter-app", "OQSHA Mobile App")</f>
        <v/>
      </c>
      <c r="F3744">
        <f>HYPERLINK("http://gitlab.osmosys.co/incident-reporter/incident-reporter-app/-/merge_requests/1748", "feat: add department in ptw.")</f>
        <v/>
      </c>
      <c r="G3744" t="inlineStr">
        <is>
          <t>feat/add-department</t>
        </is>
      </c>
      <c r="H3744" t="inlineStr">
        <is>
          <t>sprint-17</t>
        </is>
      </c>
      <c r="I3744" t="inlineStr">
        <is>
          <t>merged</t>
        </is>
      </c>
      <c r="J3744" t="inlineStr">
        <is>
          <t>184a65c2377eecc71460d5e8cd137db0f2d8ff90</t>
        </is>
      </c>
      <c r="K3744">
        <f>HYPERLINK("http://gitlab.osmosys.co/incident-reporter/incident-reporter-app/-/merge_requests/1748#note_234811", "Declare the data type")</f>
        <v/>
      </c>
      <c r="L3744" t="inlineStr">
        <is>
          <t>2025-07-11 01:02:18.822 IST</t>
        </is>
      </c>
      <c r="M3744" t="inlineStr">
        <is>
          <t>Soundariya B</t>
        </is>
      </c>
      <c r="N3744" t="inlineStr">
        <is>
          <t>Yes</t>
        </is>
      </c>
      <c r="O3744" t="inlineStr">
        <is>
          <t>Yes</t>
        </is>
      </c>
      <c r="P3744" t="inlineStr">
        <is>
          <t>Raj Kumar</t>
        </is>
      </c>
      <c r="Q3744" t="inlineStr">
        <is>
          <t>Bad</t>
        </is>
      </c>
    </row>
    <row r="3745">
      <c r="A3745" t="inlineStr">
        <is>
          <t>vaibhav.v</t>
        </is>
      </c>
      <c r="B3745" t="inlineStr">
        <is>
          <t>Vaibhav Varun</t>
        </is>
      </c>
      <c r="C3745" t="inlineStr">
        <is>
          <t>vaibhav.v@osmosys.co</t>
        </is>
      </c>
      <c r="D3745" t="inlineStr">
        <is>
          <t>incident-reporter</t>
        </is>
      </c>
      <c r="E3745">
        <f>HYPERLINK("http://gitlab.osmosys.co/incident-reporter/incident-reporter-app", "OQSHA Mobile App")</f>
        <v/>
      </c>
      <c r="F3745">
        <f>HYPERLINK("http://gitlab.osmosys.co/incident-reporter/incident-reporter-app/-/merge_requests/1748", "feat: add department in ptw.")</f>
        <v/>
      </c>
      <c r="G3745" t="inlineStr">
        <is>
          <t>feat/add-department</t>
        </is>
      </c>
      <c r="H3745" t="inlineStr">
        <is>
          <t>sprint-17</t>
        </is>
      </c>
      <c r="I3745" t="inlineStr">
        <is>
          <t>merged</t>
        </is>
      </c>
      <c r="J3745" t="inlineStr">
        <is>
          <t>184a65c2377eecc71460d5e8cd137db0f2d8ff90</t>
        </is>
      </c>
      <c r="K3745">
        <f>HYPERLINK("http://gitlab.osmosys.co/incident-reporter/incident-reporter-app/-/merge_requests/1748#note_234892", "done")</f>
        <v/>
      </c>
      <c r="L3745" t="inlineStr">
        <is>
          <t>2025-07-11 08:32:21.030 IST</t>
        </is>
      </c>
      <c r="M3745" t="inlineStr">
        <is>
          <t>Vaibhav Varun</t>
        </is>
      </c>
      <c r="N3745" t="inlineStr">
        <is>
          <t>No</t>
        </is>
      </c>
      <c r="O3745" t="inlineStr">
        <is>
          <t>Yes</t>
        </is>
      </c>
      <c r="P3745" t="inlineStr">
        <is>
          <t>Raj Kumar</t>
        </is>
      </c>
      <c r="Q3745" t="inlineStr">
        <is>
          <t>Bad</t>
        </is>
      </c>
    </row>
    <row r="3746">
      <c r="A3746" t="inlineStr">
        <is>
          <t>vaibhav.v</t>
        </is>
      </c>
      <c r="B3746" t="inlineStr">
        <is>
          <t>Vaibhav Varun</t>
        </is>
      </c>
      <c r="C3746" t="inlineStr">
        <is>
          <t>vaibhav.v@osmosys.co</t>
        </is>
      </c>
      <c r="D3746" t="inlineStr">
        <is>
          <t>incident-reporter</t>
        </is>
      </c>
      <c r="E3746">
        <f>HYPERLINK("http://gitlab.osmosys.co/incident-reporter/incident-reporter-app", "OQSHA Mobile App")</f>
        <v/>
      </c>
      <c r="F3746">
        <f>HYPERLINK("http://gitlab.osmosys.co/incident-reporter/incident-reporter-app/-/merge_requests/1748", "feat: add department in ptw.")</f>
        <v/>
      </c>
      <c r="G3746" t="inlineStr">
        <is>
          <t>feat/add-department</t>
        </is>
      </c>
      <c r="H3746" t="inlineStr">
        <is>
          <t>sprint-17</t>
        </is>
      </c>
      <c r="I3746" t="inlineStr">
        <is>
          <t>merged</t>
        </is>
      </c>
      <c r="J3746" t="inlineStr">
        <is>
          <t>6da367c13ac65659ec33f38f21e164ed92438f20</t>
        </is>
      </c>
      <c r="K3746">
        <f>HYPERLINK("http://gitlab.osmosys.co/incident-reporter/incident-reporter-app/-/merge_requests/1748#note_234812", "Remove this if not required if we want then we can get from this commit")</f>
        <v/>
      </c>
      <c r="L3746" t="inlineStr">
        <is>
          <t>2025-07-11 01:02:18.903 IST</t>
        </is>
      </c>
      <c r="M3746" t="inlineStr">
        <is>
          <t>Soundariya B</t>
        </is>
      </c>
      <c r="N3746" t="inlineStr">
        <is>
          <t>Yes</t>
        </is>
      </c>
      <c r="O3746" t="inlineStr">
        <is>
          <t>Yes</t>
        </is>
      </c>
      <c r="P3746" t="inlineStr">
        <is>
          <t>Raj Kumar</t>
        </is>
      </c>
      <c r="Q3746" t="inlineStr">
        <is>
          <t>Neutral</t>
        </is>
      </c>
    </row>
    <row r="3747">
      <c r="A3747" t="inlineStr">
        <is>
          <t>vaibhav.v</t>
        </is>
      </c>
      <c r="B3747" t="inlineStr">
        <is>
          <t>Vaibhav Varun</t>
        </is>
      </c>
      <c r="C3747" t="inlineStr">
        <is>
          <t>vaibhav.v@osmosys.co</t>
        </is>
      </c>
      <c r="D3747" t="inlineStr">
        <is>
          <t>incident-reporter</t>
        </is>
      </c>
      <c r="E3747">
        <f>HYPERLINK("http://gitlab.osmosys.co/incident-reporter/incident-reporter-app", "OQSHA Mobile App")</f>
        <v/>
      </c>
      <c r="F3747">
        <f>HYPERLINK("http://gitlab.osmosys.co/incident-reporter/incident-reporter-app/-/merge_requests/1748", "feat: add department in ptw.")</f>
        <v/>
      </c>
      <c r="G3747" t="inlineStr">
        <is>
          <t>feat/add-department</t>
        </is>
      </c>
      <c r="H3747" t="inlineStr">
        <is>
          <t>sprint-17</t>
        </is>
      </c>
      <c r="I3747" t="inlineStr">
        <is>
          <t>merged</t>
        </is>
      </c>
      <c r="J3747" t="inlineStr">
        <is>
          <t>6da367c13ac65659ec33f38f21e164ed92438f20</t>
        </is>
      </c>
      <c r="K3747">
        <f>HYPERLINK("http://gitlab.osmosys.co/incident-reporter/incident-reporter-app/-/merge_requests/1748#note_234893", "required")</f>
        <v/>
      </c>
      <c r="L3747" t="inlineStr">
        <is>
          <t>2025-07-11 08:32:27.716 IST</t>
        </is>
      </c>
      <c r="M3747" t="inlineStr">
        <is>
          <t>Vaibhav Varun</t>
        </is>
      </c>
      <c r="N3747" t="inlineStr">
        <is>
          <t>No</t>
        </is>
      </c>
      <c r="O3747" t="inlineStr">
        <is>
          <t>Yes</t>
        </is>
      </c>
      <c r="P3747" t="inlineStr">
        <is>
          <t>Raj Kumar</t>
        </is>
      </c>
      <c r="Q3747" t="inlineStr">
        <is>
          <t>Neutral</t>
        </is>
      </c>
    </row>
    <row r="3748">
      <c r="A3748" t="inlineStr">
        <is>
          <t>vaibhav.v</t>
        </is>
      </c>
      <c r="B3748" t="inlineStr">
        <is>
          <t>Vaibhav Varun</t>
        </is>
      </c>
      <c r="C3748" t="inlineStr">
        <is>
          <t>vaibhav.v@osmosys.co</t>
        </is>
      </c>
      <c r="D3748" t="inlineStr">
        <is>
          <t>incident-reporter</t>
        </is>
      </c>
      <c r="E3748">
        <f>HYPERLINK("http://gitlab.osmosys.co/incident-reporter/incident-reporter-app", "OQSHA Mobile App")</f>
        <v/>
      </c>
      <c r="F3748">
        <f>HYPERLINK("http://gitlab.osmosys.co/incident-reporter/incident-reporter-app/-/merge_requests/1748", "feat: add department in ptw.")</f>
        <v/>
      </c>
      <c r="G3748" t="inlineStr">
        <is>
          <t>feat/add-department</t>
        </is>
      </c>
      <c r="H3748" t="inlineStr">
        <is>
          <t>sprint-17</t>
        </is>
      </c>
      <c r="I3748" t="inlineStr">
        <is>
          <t>merged</t>
        </is>
      </c>
      <c r="J3748" t="inlineStr">
        <is>
          <t>a5a84e80972d6aa4bffc930e520524d66f9429d3</t>
        </is>
      </c>
      <c r="K3748">
        <f>HYPERLINK("http://gitlab.osmosys.co/incident-reporter/incident-reporter-app/-/merge_requests/1748#note_234813", "It should be - Department(s)")</f>
        <v/>
      </c>
      <c r="L3748" t="inlineStr">
        <is>
          <t>2025-07-11 01:02:18.990 IST</t>
        </is>
      </c>
      <c r="M3748" t="inlineStr">
        <is>
          <t>Soundariya B</t>
        </is>
      </c>
      <c r="N3748" t="inlineStr">
        <is>
          <t>Yes</t>
        </is>
      </c>
      <c r="O3748" t="inlineStr">
        <is>
          <t>Yes</t>
        </is>
      </c>
      <c r="P3748" t="inlineStr">
        <is>
          <t>Raj Kumar</t>
        </is>
      </c>
      <c r="Q3748" t="inlineStr">
        <is>
          <t>Bad</t>
        </is>
      </c>
    </row>
    <row r="3749">
      <c r="A3749" t="inlineStr">
        <is>
          <t>vaibhav.v</t>
        </is>
      </c>
      <c r="B3749" t="inlineStr">
        <is>
          <t>Vaibhav Varun</t>
        </is>
      </c>
      <c r="C3749" t="inlineStr">
        <is>
          <t>vaibhav.v@osmosys.co</t>
        </is>
      </c>
      <c r="D3749" t="inlineStr">
        <is>
          <t>incident-reporter</t>
        </is>
      </c>
      <c r="E3749">
        <f>HYPERLINK("http://gitlab.osmosys.co/incident-reporter/incident-reporter-app", "OQSHA Mobile App")</f>
        <v/>
      </c>
      <c r="F3749">
        <f>HYPERLINK("http://gitlab.osmosys.co/incident-reporter/incident-reporter-app/-/merge_requests/1748", "feat: add department in ptw.")</f>
        <v/>
      </c>
      <c r="G3749" t="inlineStr">
        <is>
          <t>feat/add-department</t>
        </is>
      </c>
      <c r="H3749" t="inlineStr">
        <is>
          <t>sprint-17</t>
        </is>
      </c>
      <c r="I3749" t="inlineStr">
        <is>
          <t>merged</t>
        </is>
      </c>
      <c r="J3749" t="inlineStr">
        <is>
          <t>a5a84e80972d6aa4bffc930e520524d66f9429d3</t>
        </is>
      </c>
      <c r="K3749">
        <f>HYPERLINK("http://gitlab.osmosys.co/incident-reporter/incident-reporter-app/-/merge_requests/1748#note_234894", "done")</f>
        <v/>
      </c>
      <c r="L3749" t="inlineStr">
        <is>
          <t>2025-07-11 08:32:31.922 IST</t>
        </is>
      </c>
      <c r="M3749" t="inlineStr">
        <is>
          <t>Vaibhav Varun</t>
        </is>
      </c>
      <c r="N3749" t="inlineStr">
        <is>
          <t>No</t>
        </is>
      </c>
      <c r="O3749" t="inlineStr">
        <is>
          <t>Yes</t>
        </is>
      </c>
      <c r="P3749" t="inlineStr">
        <is>
          <t>Raj Kumar</t>
        </is>
      </c>
      <c r="Q3749" t="inlineStr">
        <is>
          <t>Bad</t>
        </is>
      </c>
    </row>
    <row r="3750">
      <c r="A3750" t="inlineStr">
        <is>
          <t>vaibhav.v</t>
        </is>
      </c>
      <c r="B3750" t="inlineStr">
        <is>
          <t>Vaibhav Varun</t>
        </is>
      </c>
      <c r="C3750" t="inlineStr">
        <is>
          <t>vaibhav.v@osmosys.co</t>
        </is>
      </c>
      <c r="D3750" t="inlineStr">
        <is>
          <t>incident-reporter</t>
        </is>
      </c>
      <c r="E3750">
        <f>HYPERLINK("http://gitlab.osmosys.co/incident-reporter/incident-reporter-app", "OQSHA Mobile App")</f>
        <v/>
      </c>
      <c r="F3750">
        <f>HYPERLINK("http://gitlab.osmosys.co/incident-reporter/incident-reporter-app/-/merge_requests/1746", "feat: add departments in hira")</f>
        <v/>
      </c>
      <c r="G3750" t="inlineStr">
        <is>
          <t>feat/hira-department</t>
        </is>
      </c>
      <c r="H3750" t="inlineStr">
        <is>
          <t>sprint-17</t>
        </is>
      </c>
      <c r="I3750" t="inlineStr">
        <is>
          <t>merged</t>
        </is>
      </c>
      <c r="J3750" t="inlineStr"/>
      <c r="K3750" t="inlineStr"/>
      <c r="L3750" t="inlineStr"/>
      <c r="M3750" t="inlineStr"/>
      <c r="N3750" t="inlineStr"/>
      <c r="O3750" t="inlineStr"/>
      <c r="P3750" t="inlineStr"/>
      <c r="Q3750" t="inlineStr"/>
    </row>
    <row r="3751">
      <c r="A3751" t="inlineStr">
        <is>
          <t>vaibhav.v</t>
        </is>
      </c>
      <c r="B3751" t="inlineStr">
        <is>
          <t>Vaibhav Varun</t>
        </is>
      </c>
      <c r="C3751" t="inlineStr">
        <is>
          <t>vaibhav.v@osmosys.co</t>
        </is>
      </c>
      <c r="D3751" t="inlineStr">
        <is>
          <t>incident-reporter</t>
        </is>
      </c>
      <c r="E3751">
        <f>HYPERLINK("http://gitlab.osmosys.co/incident-reporter/incident-reporter-app", "OQSHA Mobile App")</f>
        <v/>
      </c>
      <c r="F3751">
        <f>HYPERLINK("http://gitlab.osmosys.co/incident-reporter/incident-reporter-app/-/merge_requests/1728", "fix: fix pssr api calls")</f>
        <v/>
      </c>
      <c r="G3751" t="inlineStr">
        <is>
          <t>fix/fix-pssr</t>
        </is>
      </c>
      <c r="H3751" t="inlineStr">
        <is>
          <t>sprint-16</t>
        </is>
      </c>
      <c r="I3751" t="inlineStr">
        <is>
          <t>merged</t>
        </is>
      </c>
      <c r="J3751" t="inlineStr"/>
      <c r="K3751" t="inlineStr"/>
      <c r="L3751" t="inlineStr"/>
      <c r="M3751" t="inlineStr"/>
      <c r="N3751" t="inlineStr"/>
      <c r="O3751" t="inlineStr"/>
      <c r="P3751" t="inlineStr"/>
      <c r="Q3751" t="inlineStr"/>
    </row>
    <row r="3752">
      <c r="A3752" t="inlineStr">
        <is>
          <t>yashwanth.t</t>
        </is>
      </c>
      <c r="B3752" t="inlineStr">
        <is>
          <t>Yashwant Thombre</t>
        </is>
      </c>
      <c r="C3752" t="inlineStr">
        <is>
          <t>yashwanth.t@osmosys.co</t>
        </is>
      </c>
      <c r="D3752" t="inlineStr">
        <is>
          <t>tp</t>
        </is>
      </c>
      <c r="E3752">
        <f>HYPERLINK("http://gitlab.osmosys.co/tp/TalonProAPI", "TalonProAPI")</f>
        <v/>
      </c>
      <c r="F3752">
        <f>HYPERLINK("http://gitlab.osmosys.co/tp/TalonProAPI/-/merge_requests/2128", "8852 - Add BL Peril Rason ID Parameter for hotel audit pop up")</f>
        <v/>
      </c>
      <c r="G3752" t="inlineStr">
        <is>
          <t>dev/bl_peril_reason_changes</t>
        </is>
      </c>
      <c r="H3752" t="inlineStr">
        <is>
          <t>PreTest_Development</t>
        </is>
      </c>
      <c r="I3752" t="inlineStr">
        <is>
          <t>merged</t>
        </is>
      </c>
      <c r="J3752" t="inlineStr"/>
      <c r="K3752" t="inlineStr"/>
      <c r="L3752" t="inlineStr"/>
      <c r="M3752" t="inlineStr"/>
      <c r="N3752" t="inlineStr"/>
      <c r="O3752" t="inlineStr"/>
      <c r="P3752" t="inlineStr"/>
      <c r="Q3752" t="inlineStr"/>
    </row>
    <row r="3753">
      <c r="A3753" t="inlineStr">
        <is>
          <t>yashwanth.t</t>
        </is>
      </c>
      <c r="B3753" t="inlineStr">
        <is>
          <t>Yashwant Thombre</t>
        </is>
      </c>
      <c r="C3753" t="inlineStr">
        <is>
          <t>yashwanth.t@osmosys.co</t>
        </is>
      </c>
      <c r="D3753" t="inlineStr">
        <is>
          <t>tp</t>
        </is>
      </c>
      <c r="E3753">
        <f>HYPERLINK("http://gitlab.osmosys.co/tp/TalonProAPI", "TalonProAPI")</f>
        <v/>
      </c>
      <c r="F3753">
        <f>HYPERLINK("http://gitlab.osmosys.co/tp/TalonProAPI/-/merge_requests/2127", "16091 - Add email extraction extension process changes")</f>
        <v/>
      </c>
      <c r="G3753" t="inlineStr">
        <is>
          <t>dev/email_extraction_extension</t>
        </is>
      </c>
      <c r="H3753" t="inlineStr">
        <is>
          <t>PreTest_Development</t>
        </is>
      </c>
      <c r="I3753" t="inlineStr">
        <is>
          <t>merged</t>
        </is>
      </c>
      <c r="J3753" t="inlineStr"/>
      <c r="K3753" t="inlineStr"/>
      <c r="L3753" t="inlineStr"/>
      <c r="M3753" t="inlineStr"/>
      <c r="N3753" t="inlineStr"/>
      <c r="O3753" t="inlineStr"/>
      <c r="P3753" t="inlineStr"/>
      <c r="Q3753" t="inlineStr"/>
    </row>
    <row r="3754">
      <c r="A3754" t="inlineStr">
        <is>
          <t>yashwanth.t</t>
        </is>
      </c>
      <c r="B3754" t="inlineStr">
        <is>
          <t>Yashwant Thombre</t>
        </is>
      </c>
      <c r="C3754" t="inlineStr">
        <is>
          <t>yashwanth.t@osmosys.co</t>
        </is>
      </c>
      <c r="D3754" t="inlineStr">
        <is>
          <t>tp</t>
        </is>
      </c>
      <c r="E3754">
        <f>HYPERLINK("http://gitlab.osmosys.co/tp/TalonProAPI", "TalonProAPI")</f>
        <v/>
      </c>
      <c r="F3754">
        <f>HYPERLINK("http://gitlab.osmosys.co/tp/TalonProAPI/-/merge_requests/2122", "16348 - Add MI functionality to the current ALT worksheet")</f>
        <v/>
      </c>
      <c r="G3754" t="inlineStr">
        <is>
          <t>dev/mi_functionality</t>
        </is>
      </c>
      <c r="H3754" t="inlineStr">
        <is>
          <t>Staging_Development</t>
        </is>
      </c>
      <c r="I3754" t="inlineStr">
        <is>
          <t>merged</t>
        </is>
      </c>
      <c r="J3754" t="inlineStr"/>
      <c r="K3754" t="inlineStr"/>
      <c r="L3754" t="inlineStr"/>
      <c r="M3754" t="inlineStr"/>
      <c r="N3754" t="inlineStr"/>
      <c r="O3754" t="inlineStr"/>
      <c r="P3754" t="inlineStr"/>
      <c r="Q3754" t="inlineStr"/>
    </row>
    <row r="3755">
      <c r="A3755" t="inlineStr">
        <is>
          <t>yashwanth.t</t>
        </is>
      </c>
      <c r="B3755" t="inlineStr">
        <is>
          <t>Yashwant Thombre</t>
        </is>
      </c>
      <c r="C3755" t="inlineStr">
        <is>
          <t>yashwanth.t@osmosys.co</t>
        </is>
      </c>
      <c r="D3755" t="inlineStr">
        <is>
          <t>tp</t>
        </is>
      </c>
      <c r="E3755">
        <f>HYPERLINK("http://gitlab.osmosys.co/tp/TalonProAPI", "TalonProAPI")</f>
        <v/>
      </c>
      <c r="F3755">
        <f>HYPERLINK("http://gitlab.osmosys.co/tp/TalonProAPI/-/merge_requests/2096", "Add functionality to reserve same unit by duplicating its details for the same guest record")</f>
        <v/>
      </c>
      <c r="G3755" t="inlineStr">
        <is>
          <t>dev/duplicate_unit_for_same_guest</t>
        </is>
      </c>
      <c r="H3755" t="inlineStr">
        <is>
          <t>PreTest_Development</t>
        </is>
      </c>
      <c r="I3755" t="inlineStr">
        <is>
          <t>merged</t>
        </is>
      </c>
      <c r="J3755" t="inlineStr"/>
      <c r="K3755" t="inlineStr"/>
      <c r="L3755" t="inlineStr"/>
      <c r="M3755" t="inlineStr"/>
      <c r="N3755" t="inlineStr"/>
      <c r="O3755" t="inlineStr"/>
      <c r="P3755" t="inlineStr"/>
      <c r="Q3755" t="inlineStr"/>
    </row>
    <row r="3756">
      <c r="A3756" t="inlineStr">
        <is>
          <t>yashwanth.t</t>
        </is>
      </c>
      <c r="B3756" t="inlineStr">
        <is>
          <t>Yashwant Thombre</t>
        </is>
      </c>
      <c r="C3756" t="inlineStr">
        <is>
          <t>yashwanth.t@osmosys.co</t>
        </is>
      </c>
      <c r="D3756" t="inlineStr">
        <is>
          <t>tp</t>
        </is>
      </c>
      <c r="E3756">
        <f>HYPERLINK("http://gitlab.osmosys.co/tp/TalonProAPI", "TalonProAPI")</f>
        <v/>
      </c>
      <c r="F3756">
        <f>HYPERLINK("http://gitlab.osmosys.co/tp/TalonProAPI/-/merge_requests/2091", "17648 - Add company multi-select feature for CAT Claims Count Report")</f>
        <v/>
      </c>
      <c r="G3756" t="inlineStr">
        <is>
          <t>hotfix/allow-multi-select-company</t>
        </is>
      </c>
      <c r="H3756" t="inlineStr">
        <is>
          <t>PreTest_Development</t>
        </is>
      </c>
      <c r="I3756" t="inlineStr">
        <is>
          <t>merged</t>
        </is>
      </c>
      <c r="J3756" t="inlineStr"/>
      <c r="K3756" t="inlineStr"/>
      <c r="L3756" t="inlineStr"/>
      <c r="M3756" t="inlineStr"/>
      <c r="N3756" t="inlineStr"/>
      <c r="O3756" t="inlineStr"/>
      <c r="P3756" t="inlineStr"/>
      <c r="Q3756" t="inlineStr"/>
    </row>
    <row r="3757">
      <c r="A3757" t="inlineStr">
        <is>
          <t>yashwanth.t</t>
        </is>
      </c>
      <c r="B3757" t="inlineStr">
        <is>
          <t>Yashwant Thombre</t>
        </is>
      </c>
      <c r="C3757" t="inlineStr">
        <is>
          <t>yashwanth.t@osmosys.co</t>
        </is>
      </c>
      <c r="D3757" t="inlineStr">
        <is>
          <t>tp</t>
        </is>
      </c>
      <c r="E3757">
        <f>HYPERLINK("http://gitlab.osmosys.co/tp/TalonProAPI", "TalonProAPI")</f>
        <v/>
      </c>
      <c r="F3757">
        <f>HYPERLINK("http://gitlab.osmosys.co/tp/TalonProAPI/-/merge_requests/2080", "Merge second charge changes to Staging_Development branch")</f>
        <v/>
      </c>
      <c r="G3757" t="inlineStr">
        <is>
          <t>cherry-pick-55a947ad</t>
        </is>
      </c>
      <c r="H3757" t="inlineStr">
        <is>
          <t>Staging_Development</t>
        </is>
      </c>
      <c r="I3757" t="inlineStr">
        <is>
          <t>merged</t>
        </is>
      </c>
      <c r="J3757" t="inlineStr">
        <is>
          <t>4e27c4caf5fccdc70dba0558fa595abe39c7af03</t>
        </is>
      </c>
      <c r="K3757">
        <f>HYPERLINK("http://gitlab.osmosys.co/tp/TalonProAPI/-/merge_requests/2080#note_236408", "Merged on behalf of @yashwanth.m")</f>
        <v/>
      </c>
      <c r="L3757" t="inlineStr">
        <is>
          <t>2025-07-14 18:50:16.317 IST</t>
        </is>
      </c>
      <c r="M3757" t="inlineStr">
        <is>
          <t xml:space="preserve">Mandali Harshavardhan </t>
        </is>
      </c>
      <c r="N3757" t="inlineStr">
        <is>
          <t>Yes</t>
        </is>
      </c>
      <c r="O3757" t="inlineStr">
        <is>
          <t>No</t>
        </is>
      </c>
      <c r="P3757" t="inlineStr"/>
      <c r="Q3757" t="inlineStr">
        <is>
          <t>Good</t>
        </is>
      </c>
    </row>
    <row r="3758">
      <c r="A3758" t="inlineStr">
        <is>
          <t>yashwanth.t</t>
        </is>
      </c>
      <c r="B3758" t="inlineStr">
        <is>
          <t>Yashwant Thombre</t>
        </is>
      </c>
      <c r="C3758" t="inlineStr">
        <is>
          <t>yashwanth.t@osmosys.co</t>
        </is>
      </c>
      <c r="D3758" t="inlineStr">
        <is>
          <t>tp</t>
        </is>
      </c>
      <c r="E3758">
        <f>HYPERLINK("http://gitlab.osmosys.co/tp/TalonProAPI", "TalonProAPI")</f>
        <v/>
      </c>
      <c r="F3758">
        <f>HYPERLINK("http://gitlab.osmosys.co/tp/TalonProAPI/-/merge_requests/2079", "15526 - Fix re-imbursement checkbox issue")</f>
        <v/>
      </c>
      <c r="G3758" t="inlineStr">
        <is>
          <t>dev/add_re_imbursement_param</t>
        </is>
      </c>
      <c r="H3758" t="inlineStr">
        <is>
          <t>PreTest_Development</t>
        </is>
      </c>
      <c r="I3758" t="inlineStr">
        <is>
          <t>merged</t>
        </is>
      </c>
      <c r="J3758" t="inlineStr"/>
      <c r="K3758" t="inlineStr"/>
      <c r="L3758" t="inlineStr"/>
      <c r="M3758" t="inlineStr"/>
      <c r="N3758" t="inlineStr"/>
      <c r="O3758" t="inlineStr"/>
      <c r="P3758" t="inlineStr"/>
      <c r="Q3758" t="inlineStr"/>
    </row>
    <row r="3759">
      <c r="A3759" t="inlineStr">
        <is>
          <t>yashwanth.t</t>
        </is>
      </c>
      <c r="B3759" t="inlineStr">
        <is>
          <t>Yashwant Thombre</t>
        </is>
      </c>
      <c r="C3759" t="inlineStr">
        <is>
          <t>yashwanth.t@osmosys.co</t>
        </is>
      </c>
      <c r="D3759" t="inlineStr">
        <is>
          <t>tp</t>
        </is>
      </c>
      <c r="E3759">
        <f>HYPERLINK("http://gitlab.osmosys.co/tp/TalonProAPI", "TalonProAPI")</f>
        <v/>
      </c>
      <c r="F3759">
        <f>HYPERLINK("http://gitlab.osmosys.co/tp/TalonProAPI/-/merge_requests/2075", "17648 - Add changes for CAT Claims Count Report")</f>
        <v/>
      </c>
      <c r="G3759" t="inlineStr">
        <is>
          <t>dev/cat_claims_count_report</t>
        </is>
      </c>
      <c r="H3759" t="inlineStr">
        <is>
          <t>PreTest_Development</t>
        </is>
      </c>
      <c r="I3759" t="inlineStr">
        <is>
          <t>merged</t>
        </is>
      </c>
      <c r="J3759" t="inlineStr">
        <is>
          <t>591a9ba5945700eec90c3b0ebeb943fb34bcff6d</t>
        </is>
      </c>
      <c r="K3759">
        <f>HYPERLINK("http://gitlab.osmosys.co/tp/TalonProAPI/-/merge_requests/2075#note_238489", "Why is this commented ?
@yashwanth.t")</f>
        <v/>
      </c>
      <c r="L3759" t="inlineStr">
        <is>
          <t>2025-07-17 16:41:48.297 IST</t>
        </is>
      </c>
      <c r="M3759" t="inlineStr">
        <is>
          <t xml:space="preserve">Mandali Harshavardhan </t>
        </is>
      </c>
      <c r="N3759" t="inlineStr">
        <is>
          <t>Yes</t>
        </is>
      </c>
      <c r="O3759" t="inlineStr">
        <is>
          <t>Yes</t>
        </is>
      </c>
      <c r="P3759" t="inlineStr">
        <is>
          <t xml:space="preserve">Mandali Harshavardhan </t>
        </is>
      </c>
      <c r="Q3759" t="inlineStr">
        <is>
          <t>Bad</t>
        </is>
      </c>
    </row>
    <row r="3760">
      <c r="A3760" t="inlineStr">
        <is>
          <t>yashwanth.t</t>
        </is>
      </c>
      <c r="B3760" t="inlineStr">
        <is>
          <t>Yashwant Thombre</t>
        </is>
      </c>
      <c r="C3760" t="inlineStr">
        <is>
          <t>yashwanth.t@osmosys.co</t>
        </is>
      </c>
      <c r="D3760" t="inlineStr">
        <is>
          <t>tp</t>
        </is>
      </c>
      <c r="E3760">
        <f>HYPERLINK("http://gitlab.osmosys.co/tp/TalonProAPI", "TalonProAPI")</f>
        <v/>
      </c>
      <c r="F3760">
        <f>HYPERLINK("http://gitlab.osmosys.co/tp/TalonProAPI/-/merge_requests/2075", "17648 - Add changes for CAT Claims Count Report")</f>
        <v/>
      </c>
      <c r="G3760" t="inlineStr">
        <is>
          <t>dev/cat_claims_count_report</t>
        </is>
      </c>
      <c r="H3760" t="inlineStr">
        <is>
          <t>PreTest_Development</t>
        </is>
      </c>
      <c r="I3760" t="inlineStr">
        <is>
          <t>merged</t>
        </is>
      </c>
      <c r="J3760" t="inlineStr">
        <is>
          <t>591a9ba5945700eec90c3b0ebeb943fb34bcff6d</t>
        </is>
      </c>
      <c r="K3760">
        <f>HYPERLINK("http://gitlab.osmosys.co/tp/TalonProAPI/-/merge_requests/2075#note_238493", "This code was already commented. I just removed it for better readability")</f>
        <v/>
      </c>
      <c r="L3760" t="inlineStr">
        <is>
          <t>2025-07-17 16:45:18.205 IST</t>
        </is>
      </c>
      <c r="M3760" t="inlineStr">
        <is>
          <t>Yashwant Thombre</t>
        </is>
      </c>
      <c r="N3760" t="inlineStr">
        <is>
          <t>No</t>
        </is>
      </c>
      <c r="O3760" t="inlineStr">
        <is>
          <t>Yes</t>
        </is>
      </c>
      <c r="P3760" t="inlineStr">
        <is>
          <t>Yashwant Thombre</t>
        </is>
      </c>
      <c r="Q3760" t="inlineStr">
        <is>
          <t>Bad</t>
        </is>
      </c>
    </row>
    <row r="3761">
      <c r="A3761" t="inlineStr">
        <is>
          <t>yashwanth.t</t>
        </is>
      </c>
      <c r="B3761" t="inlineStr">
        <is>
          <t>Yashwant Thombre</t>
        </is>
      </c>
      <c r="C3761" t="inlineStr">
        <is>
          <t>yashwanth.t@osmosys.co</t>
        </is>
      </c>
      <c r="D3761" t="inlineStr">
        <is>
          <t>tp</t>
        </is>
      </c>
      <c r="E3761">
        <f>HYPERLINK("http://gitlab.osmosys.co/tp/TalonProAPI", "TalonProAPI")</f>
        <v/>
      </c>
      <c r="F3761">
        <f>HYPERLINK("http://gitlab.osmosys.co/tp/TalonProAPI/-/merge_requests/2073", "Second charge changes")</f>
        <v/>
      </c>
      <c r="G3761" t="inlineStr">
        <is>
          <t>revert-f3af02be</t>
        </is>
      </c>
      <c r="H3761" t="inlineStr">
        <is>
          <t>temp/second-charge</t>
        </is>
      </c>
      <c r="I3761" t="inlineStr">
        <is>
          <t>merged</t>
        </is>
      </c>
      <c r="J3761" t="inlineStr"/>
      <c r="K3761" t="inlineStr"/>
      <c r="L3761" t="inlineStr"/>
      <c r="M3761" t="inlineStr"/>
      <c r="N3761" t="inlineStr"/>
      <c r="O3761" t="inlineStr"/>
      <c r="P3761" t="inlineStr"/>
      <c r="Q3761" t="inlineStr"/>
    </row>
    <row r="3762">
      <c r="A3762" t="inlineStr">
        <is>
          <t>yashwanth.t</t>
        </is>
      </c>
      <c r="B3762" t="inlineStr">
        <is>
          <t>Yashwant Thombre</t>
        </is>
      </c>
      <c r="C3762" t="inlineStr">
        <is>
          <t>yashwanth.t@osmosys.co</t>
        </is>
      </c>
      <c r="D3762" t="inlineStr">
        <is>
          <t>tp</t>
        </is>
      </c>
      <c r="E3762">
        <f>HYPERLINK("http://gitlab.osmosys.co/tp/TalonProAPI", "TalonProAPI")</f>
        <v/>
      </c>
      <c r="F3762">
        <f>HYPERLINK("http://gitlab.osmosys.co/tp/TalonProAPI/-/merge_requests/2072", "Revert "Merge branch 'dev/second-charge' into 'Staging_Development'"")</f>
        <v/>
      </c>
      <c r="G3762" t="inlineStr">
        <is>
          <t>revert-06ddab62</t>
        </is>
      </c>
      <c r="H3762" t="inlineStr">
        <is>
          <t>revert-034e2091</t>
        </is>
      </c>
      <c r="I3762" t="inlineStr">
        <is>
          <t>merged</t>
        </is>
      </c>
      <c r="J3762" t="inlineStr"/>
      <c r="K3762" t="inlineStr"/>
      <c r="L3762" t="inlineStr"/>
      <c r="M3762" t="inlineStr"/>
      <c r="N3762" t="inlineStr"/>
      <c r="O3762" t="inlineStr"/>
      <c r="P3762" t="inlineStr"/>
      <c r="Q3762" t="inlineStr"/>
    </row>
    <row r="3763">
      <c r="A3763" t="inlineStr">
        <is>
          <t>yashwanth.t</t>
        </is>
      </c>
      <c r="B3763" t="inlineStr">
        <is>
          <t>Yashwant Thombre</t>
        </is>
      </c>
      <c r="C3763" t="inlineStr">
        <is>
          <t>yashwanth.t@osmosys.co</t>
        </is>
      </c>
      <c r="D3763" t="inlineStr">
        <is>
          <t>tp</t>
        </is>
      </c>
      <c r="E3763">
        <f>HYPERLINK("http://gitlab.osmosys.co/tp/TalonProAPI", "TalonProAPI")</f>
        <v/>
      </c>
      <c r="F3763">
        <f>HYPERLINK("http://gitlab.osmosys.co/tp/TalonProAPI/-/merge_requests/2071", "Revert "Merge branch 'cherry-pick-ca3b462a' into 'Staging_Development'"")</f>
        <v/>
      </c>
      <c r="G3763" t="inlineStr">
        <is>
          <t>revert-034e2091</t>
        </is>
      </c>
      <c r="H3763" t="inlineStr">
        <is>
          <t>Staging_Development</t>
        </is>
      </c>
      <c r="I3763" t="inlineStr">
        <is>
          <t>merged</t>
        </is>
      </c>
      <c r="J3763" t="inlineStr"/>
      <c r="K3763" t="inlineStr"/>
      <c r="L3763" t="inlineStr"/>
      <c r="M3763" t="inlineStr"/>
      <c r="N3763" t="inlineStr"/>
      <c r="O3763" t="inlineStr"/>
      <c r="P3763" t="inlineStr"/>
      <c r="Q3763" t="inlineStr"/>
    </row>
    <row r="3764">
      <c r="A3764" t="inlineStr">
        <is>
          <t>yashwanth.t</t>
        </is>
      </c>
      <c r="B3764" t="inlineStr">
        <is>
          <t>Yashwant Thombre</t>
        </is>
      </c>
      <c r="C3764" t="inlineStr">
        <is>
          <t>yashwanth.t@osmosys.co</t>
        </is>
      </c>
      <c r="D3764" t="inlineStr">
        <is>
          <t>tp</t>
        </is>
      </c>
      <c r="E3764">
        <f>HYPERLINK("http://gitlab.osmosys.co/tp/TalonProAPI", "TalonProAPI")</f>
        <v/>
      </c>
      <c r="F3764">
        <f>HYPERLINK("http://gitlab.osmosys.co/tp/TalonProAPI/-/merge_requests/2065", "Add missing changes for second charge functionality")</f>
        <v/>
      </c>
      <c r="G3764" t="inlineStr">
        <is>
          <t>hotfix/multiple-delete-charge-functionality</t>
        </is>
      </c>
      <c r="H3764" t="inlineStr">
        <is>
          <t>cherry-pick-ca3b462a</t>
        </is>
      </c>
      <c r="I3764" t="inlineStr">
        <is>
          <t>merged</t>
        </is>
      </c>
      <c r="J3764" t="inlineStr"/>
      <c r="K3764" t="inlineStr"/>
      <c r="L3764" t="inlineStr"/>
      <c r="M3764" t="inlineStr"/>
      <c r="N3764" t="inlineStr"/>
      <c r="O3764" t="inlineStr"/>
      <c r="P3764" t="inlineStr"/>
      <c r="Q3764" t="inlineStr"/>
    </row>
    <row r="3765">
      <c r="A3765" t="inlineStr">
        <is>
          <t>yashwanth.t</t>
        </is>
      </c>
      <c r="B3765" t="inlineStr">
        <is>
          <t>Yashwant Thombre</t>
        </is>
      </c>
      <c r="C3765" t="inlineStr">
        <is>
          <t>yashwanth.t@osmosys.co</t>
        </is>
      </c>
      <c r="D3765" t="inlineStr">
        <is>
          <t>tp</t>
        </is>
      </c>
      <c r="E3765">
        <f>HYPERLINK("http://gitlab.osmosys.co/tp/TalonProAPI", "TalonProAPI")</f>
        <v/>
      </c>
      <c r="F3765">
        <f>HYPERLINK("http://gitlab.osmosys.co/tp/TalonProAPI/-/merge_requests/2064", "Merge branch 'save_charges_fix' into 'PreTest_Development'")</f>
        <v/>
      </c>
      <c r="G3765" t="inlineStr">
        <is>
          <t>cherry-pick-ca3b462a</t>
        </is>
      </c>
      <c r="H3765" t="inlineStr">
        <is>
          <t>Staging_Development</t>
        </is>
      </c>
      <c r="I3765" t="inlineStr">
        <is>
          <t>merged</t>
        </is>
      </c>
      <c r="J3765" t="inlineStr"/>
      <c r="K3765" t="inlineStr"/>
      <c r="L3765" t="inlineStr"/>
      <c r="M3765" t="inlineStr"/>
      <c r="N3765" t="inlineStr"/>
      <c r="O3765" t="inlineStr"/>
      <c r="P3765" t="inlineStr"/>
      <c r="Q3765" t="inlineStr"/>
    </row>
    <row r="3766">
      <c r="A3766" t="inlineStr">
        <is>
          <t>yashwanth.t</t>
        </is>
      </c>
      <c r="B3766" t="inlineStr">
        <is>
          <t>Yashwant Thombre</t>
        </is>
      </c>
      <c r="C3766" t="inlineStr">
        <is>
          <t>yashwanth.t@osmosys.co</t>
        </is>
      </c>
      <c r="D3766" t="inlineStr">
        <is>
          <t>tp</t>
        </is>
      </c>
      <c r="E3766">
        <f>HYPERLINK("http://gitlab.osmosys.co/tp/TalonProAPI", "TalonProAPI")</f>
        <v/>
      </c>
      <c r="F3766">
        <f>HYPERLINK("http://gitlab.osmosys.co/tp/TalonProAPI/-/merge_requests/2063", "HotFix : Remove unnecessary code change for THD Fee % and Clarcity Booking Fee%")</f>
        <v/>
      </c>
      <c r="G3766" t="inlineStr">
        <is>
          <t>hotfix/add-missing-change-for-thd-fee-calculation</t>
        </is>
      </c>
      <c r="H3766" t="inlineStr">
        <is>
          <t>Staging_Development</t>
        </is>
      </c>
      <c r="I3766" t="inlineStr">
        <is>
          <t>merged</t>
        </is>
      </c>
      <c r="J3766" t="inlineStr"/>
      <c r="K3766" t="inlineStr"/>
      <c r="L3766" t="inlineStr"/>
      <c r="M3766" t="inlineStr"/>
      <c r="N3766" t="inlineStr"/>
      <c r="O3766" t="inlineStr"/>
      <c r="P3766" t="inlineStr"/>
      <c r="Q3766" t="inlineStr"/>
    </row>
    <row r="3767">
      <c r="A3767" t="inlineStr">
        <is>
          <t>yashwanth.t</t>
        </is>
      </c>
      <c r="B3767" t="inlineStr">
        <is>
          <t>Yashwant Thombre</t>
        </is>
      </c>
      <c r="C3767" t="inlineStr">
        <is>
          <t>yashwanth.t@osmosys.co</t>
        </is>
      </c>
      <c r="D3767" t="inlineStr">
        <is>
          <t>tp</t>
        </is>
      </c>
      <c r="E3767">
        <f>HYPERLINK("http://gitlab.osmosys.co/tp/TalonProAPI", "TalonProAPI")</f>
        <v/>
      </c>
      <c r="F3767">
        <f>HYPERLINK("http://gitlab.osmosys.co/tp/TalonProAPI/-/merge_requests/2062", "9543 - Add second charge feature")</f>
        <v/>
      </c>
      <c r="G3767" t="inlineStr">
        <is>
          <t>dev/second-charge</t>
        </is>
      </c>
      <c r="H3767" t="inlineStr">
        <is>
          <t>Staging_Development</t>
        </is>
      </c>
      <c r="I3767" t="inlineStr">
        <is>
          <t>merged</t>
        </is>
      </c>
      <c r="J3767" t="inlineStr"/>
      <c r="K3767" t="inlineStr"/>
      <c r="L3767" t="inlineStr"/>
      <c r="M3767" t="inlineStr"/>
      <c r="N3767" t="inlineStr"/>
      <c r="O3767" t="inlineStr"/>
      <c r="P3767" t="inlineStr"/>
      <c r="Q3767" t="inlineStr"/>
    </row>
    <row r="3768">
      <c r="A3768" t="inlineStr">
        <is>
          <t>yashwanth.t</t>
        </is>
      </c>
      <c r="B3768" t="inlineStr">
        <is>
          <t>Yashwant Thombre</t>
        </is>
      </c>
      <c r="C3768" t="inlineStr">
        <is>
          <t>yashwanth.t@osmosys.co</t>
        </is>
      </c>
      <c r="D3768" t="inlineStr">
        <is>
          <t>tp</t>
        </is>
      </c>
      <c r="E3768">
        <f>HYPERLINK("http://gitlab.osmosys.co/tp/TalonProAPI", "TalonProAPI")</f>
        <v/>
      </c>
      <c r="F3768">
        <f>HYPERLINK("http://gitlab.osmosys.co/tp/TalonProAPI/-/merge_requests/2061", "Merge branch 'dev/fix-second-charge-issue' into 'PreTest_Development'")</f>
        <v/>
      </c>
      <c r="G3768" t="inlineStr">
        <is>
          <t>cherry-pick-e6b42dbe</t>
        </is>
      </c>
      <c r="H3768" t="inlineStr">
        <is>
          <t>dev/second-charge</t>
        </is>
      </c>
      <c r="I3768" t="inlineStr">
        <is>
          <t>merged</t>
        </is>
      </c>
      <c r="J3768" t="inlineStr"/>
      <c r="K3768" t="inlineStr"/>
      <c r="L3768" t="inlineStr"/>
      <c r="M3768" t="inlineStr"/>
      <c r="N3768" t="inlineStr"/>
      <c r="O3768" t="inlineStr"/>
      <c r="P3768" t="inlineStr"/>
      <c r="Q3768" t="inlineStr"/>
    </row>
    <row r="3769">
      <c r="A3769" t="inlineStr">
        <is>
          <t>yashwanth.t</t>
        </is>
      </c>
      <c r="B3769" t="inlineStr">
        <is>
          <t>Yashwant Thombre</t>
        </is>
      </c>
      <c r="C3769" t="inlineStr">
        <is>
          <t>yashwanth.t@osmosys.co</t>
        </is>
      </c>
      <c r="D3769" t="inlineStr">
        <is>
          <t>tp</t>
        </is>
      </c>
      <c r="E3769">
        <f>HYPERLINK("http://gitlab.osmosys.co/tp/TalonProAPI", "TalonProAPI")</f>
        <v/>
      </c>
      <c r="F3769">
        <f>HYPERLINK("http://gitlab.osmosys.co/tp/TalonProAPI/-/merge_requests/2060", "Merge branch 'dev/fix-second-charge-issue' into 'PreTest_Development'")</f>
        <v/>
      </c>
      <c r="G3769" t="inlineStr">
        <is>
          <t>cherry-pick-b77da202</t>
        </is>
      </c>
      <c r="H3769" t="inlineStr">
        <is>
          <t>dev/second-charge</t>
        </is>
      </c>
      <c r="I3769" t="inlineStr">
        <is>
          <t>merged</t>
        </is>
      </c>
      <c r="J3769" t="inlineStr"/>
      <c r="K3769" t="inlineStr"/>
      <c r="L3769" t="inlineStr"/>
      <c r="M3769" t="inlineStr"/>
      <c r="N3769" t="inlineStr"/>
      <c r="O3769" t="inlineStr"/>
      <c r="P3769" t="inlineStr"/>
      <c r="Q3769" t="inlineStr"/>
    </row>
    <row r="3770">
      <c r="A3770" t="inlineStr">
        <is>
          <t>yashwanth.t</t>
        </is>
      </c>
      <c r="B3770" t="inlineStr">
        <is>
          <t>Yashwant Thombre</t>
        </is>
      </c>
      <c r="C3770" t="inlineStr">
        <is>
          <t>yashwanth.t@osmosys.co</t>
        </is>
      </c>
      <c r="D3770" t="inlineStr">
        <is>
          <t>tp</t>
        </is>
      </c>
      <c r="E3770">
        <f>HYPERLINK("http://gitlab.osmosys.co/tp/TalonProAPI", "TalonProAPI")</f>
        <v/>
      </c>
      <c r="F3770">
        <f>HYPERLINK("http://gitlab.osmosys.co/tp/TalonProAPI/-/merge_requests/2059", "Merge branch 'dev/ale-limit-currency-symbol-update' into 'PreTest_Development'")</f>
        <v/>
      </c>
      <c r="G3770" t="inlineStr">
        <is>
          <t>cherry-pick-c6de8d6a</t>
        </is>
      </c>
      <c r="H3770" t="inlineStr">
        <is>
          <t>Staging_Development</t>
        </is>
      </c>
      <c r="I3770" t="inlineStr">
        <is>
          <t>merged</t>
        </is>
      </c>
      <c r="J3770" t="inlineStr"/>
      <c r="K3770" t="inlineStr"/>
      <c r="L3770" t="inlineStr"/>
      <c r="M3770" t="inlineStr"/>
      <c r="N3770" t="inlineStr"/>
      <c r="O3770" t="inlineStr"/>
      <c r="P3770" t="inlineStr"/>
      <c r="Q3770" t="inlineStr"/>
    </row>
    <row r="3771">
      <c r="A3771" t="inlineStr">
        <is>
          <t>yashwanth.t</t>
        </is>
      </c>
      <c r="B3771" t="inlineStr">
        <is>
          <t>Yashwant Thombre</t>
        </is>
      </c>
      <c r="C3771" t="inlineStr">
        <is>
          <t>yashwanth.t@osmosys.co</t>
        </is>
      </c>
      <c r="D3771" t="inlineStr">
        <is>
          <t>tp</t>
        </is>
      </c>
      <c r="E3771">
        <f>HYPERLINK("http://gitlab.osmosys.co/tp/TalonProAPI", "TalonProAPI")</f>
        <v/>
      </c>
      <c r="F3771">
        <f>HYPERLINK("http://gitlab.osmosys.co/tp/TalonProAPI/-/merge_requests/2058", "Add functionality to allow manual adjustment for THD Fee and Clarcity Booking Fee")</f>
        <v/>
      </c>
      <c r="G3771" t="inlineStr">
        <is>
          <t>dev/thd_fee_manual_adjustment</t>
        </is>
      </c>
      <c r="H3771" t="inlineStr">
        <is>
          <t>Staging_Development</t>
        </is>
      </c>
      <c r="I3771" t="inlineStr">
        <is>
          <t>merged</t>
        </is>
      </c>
      <c r="J3771" t="inlineStr"/>
      <c r="K3771" t="inlineStr"/>
      <c r="L3771" t="inlineStr"/>
      <c r="M3771" t="inlineStr"/>
      <c r="N3771" t="inlineStr"/>
      <c r="O3771" t="inlineStr"/>
      <c r="P3771" t="inlineStr"/>
      <c r="Q3771" t="inlineStr"/>
    </row>
    <row r="3772">
      <c r="A3772" t="inlineStr">
        <is>
          <t>yashwanth.t</t>
        </is>
      </c>
      <c r="B3772" t="inlineStr">
        <is>
          <t>Yashwant Thombre</t>
        </is>
      </c>
      <c r="C3772" t="inlineStr">
        <is>
          <t>yashwanth.t@osmosys.co</t>
        </is>
      </c>
      <c r="D3772" t="inlineStr">
        <is>
          <t>tp</t>
        </is>
      </c>
      <c r="E3772">
        <f>HYPERLINK("http://gitlab.osmosys.co/tp/TalonProAPI", "TalonProAPI")</f>
        <v/>
      </c>
      <c r="F3772">
        <f>HYPERLINK("http://gitlab.osmosys.co/tp/TalonProAPI/-/merge_requests/2048", "16348 - Add MI functionality to the current ALT worksheet")</f>
        <v/>
      </c>
      <c r="G3772" t="inlineStr">
        <is>
          <t>dev/mi_functionality_for_alt_worksheet</t>
        </is>
      </c>
      <c r="H3772" t="inlineStr">
        <is>
          <t>PreTest_Development</t>
        </is>
      </c>
      <c r="I3772" t="inlineStr">
        <is>
          <t>merged</t>
        </is>
      </c>
      <c r="J3772" t="inlineStr"/>
      <c r="K3772" t="inlineStr"/>
      <c r="L3772" t="inlineStr"/>
      <c r="M3772" t="inlineStr"/>
      <c r="N3772" t="inlineStr"/>
      <c r="O3772" t="inlineStr"/>
      <c r="P3772" t="inlineStr"/>
      <c r="Q3772" t="inlineStr"/>
    </row>
    <row r="3773">
      <c r="A3773" t="inlineStr">
        <is>
          <t>yashwanth.t</t>
        </is>
      </c>
      <c r="B3773" t="inlineStr">
        <is>
          <t>Yashwant Thombre</t>
        </is>
      </c>
      <c r="C3773" t="inlineStr">
        <is>
          <t>yashwanth.t@osmosys.co</t>
        </is>
      </c>
      <c r="D3773" t="inlineStr">
        <is>
          <t>tp</t>
        </is>
      </c>
      <c r="E3773">
        <f>HYPERLINK("http://gitlab.osmosys.co/tp/TalonProAPI", "TalonProAPI")</f>
        <v/>
      </c>
      <c r="F3773">
        <f>HYPERLINK("http://gitlab.osmosys.co/tp/TalonProAPI/-/merge_requests/2041", "HotFix : Correct query to pull all guest records reserved in the given unit")</f>
        <v/>
      </c>
      <c r="G3773" t="inlineStr">
        <is>
          <t>hotfix/fix-reservation-query</t>
        </is>
      </c>
      <c r="H3773" t="inlineStr">
        <is>
          <t>PreTest_Development</t>
        </is>
      </c>
      <c r="I3773" t="inlineStr">
        <is>
          <t>merged</t>
        </is>
      </c>
      <c r="J3773" t="inlineStr"/>
      <c r="K3773" t="inlineStr"/>
      <c r="L3773" t="inlineStr"/>
      <c r="M3773" t="inlineStr"/>
      <c r="N3773" t="inlineStr"/>
      <c r="O3773" t="inlineStr"/>
      <c r="P3773" t="inlineStr"/>
      <c r="Q3773" t="inlineStr"/>
    </row>
    <row r="3774">
      <c r="A3774" t="inlineStr">
        <is>
          <t>yashwanth.t</t>
        </is>
      </c>
      <c r="B3774" t="inlineStr">
        <is>
          <t>Yashwant Thombre</t>
        </is>
      </c>
      <c r="C3774" t="inlineStr">
        <is>
          <t>yashwanth.t@osmosys.co</t>
        </is>
      </c>
      <c r="D3774" t="inlineStr">
        <is>
          <t>tp</t>
        </is>
      </c>
      <c r="E3774">
        <f>HYPERLINK("http://gitlab.osmosys.co/tp/TP-DATAEXCHANGE-API", "TP-DATAEXCHANGE-API")</f>
        <v/>
      </c>
      <c r="F3774">
        <f>HYPERLINK("http://gitlab.osmosys.co/tp/TP-DATAEXCHANGE-API/-/merge_requests/204", "Hotfix: Remove functionality on push to guest status change")</f>
        <v/>
      </c>
      <c r="G3774" t="inlineStr">
        <is>
          <t>T18460-HotFix/push_to_ref_issue</t>
        </is>
      </c>
      <c r="H3774" t="inlineStr">
        <is>
          <t>development_february2025</t>
        </is>
      </c>
      <c r="I3774" t="inlineStr">
        <is>
          <t>opened</t>
        </is>
      </c>
      <c r="J3774" t="inlineStr"/>
      <c r="K3774" t="inlineStr"/>
      <c r="L3774" t="inlineStr"/>
      <c r="M3774" t="inlineStr"/>
      <c r="N3774" t="inlineStr"/>
      <c r="O3774" t="inlineStr"/>
      <c r="P3774" t="inlineStr"/>
      <c r="Q3774" t="inlineStr"/>
    </row>
    <row r="3775">
      <c r="A3775" t="inlineStr">
        <is>
          <t>harshavardhan.m</t>
        </is>
      </c>
      <c r="B3775" t="inlineStr">
        <is>
          <t xml:space="preserve">Mandali Harshavardhan </t>
        </is>
      </c>
      <c r="C3775" t="inlineStr">
        <is>
          <t>harshavardhan.m@osmosys.co</t>
        </is>
      </c>
      <c r="D3775" t="inlineStr">
        <is>
          <t>tp</t>
        </is>
      </c>
      <c r="E3775">
        <f>HYPERLINK("http://gitlab.osmosys.co/tp/TalonProAPI", "TalonProAPI")</f>
        <v/>
      </c>
      <c r="F3775">
        <f>HYPERLINK("http://gitlab.osmosys.co/tp/TalonProAPI/-/merge_requests/2136", "Merge branch 'Rent_Roll_Casting_Issue_Fix' into 'Staging_Development'")</f>
        <v/>
      </c>
      <c r="G3775" t="inlineStr">
        <is>
          <t>cherry-pick-856e3095</t>
        </is>
      </c>
      <c r="H3775" t="inlineStr">
        <is>
          <t>Staging_Temp_28July</t>
        </is>
      </c>
      <c r="I3775" t="inlineStr">
        <is>
          <t>merged</t>
        </is>
      </c>
      <c r="J3775" t="inlineStr"/>
      <c r="K3775" t="inlineStr"/>
      <c r="L3775" t="inlineStr"/>
      <c r="M3775" t="inlineStr"/>
      <c r="N3775" t="inlineStr"/>
      <c r="O3775" t="inlineStr"/>
      <c r="P3775" t="inlineStr"/>
      <c r="Q3775" t="inlineStr"/>
    </row>
    <row r="3776">
      <c r="A3776" t="inlineStr">
        <is>
          <t>harshavardhan.m</t>
        </is>
      </c>
      <c r="B3776" t="inlineStr">
        <is>
          <t xml:space="preserve">Mandali Harshavardhan </t>
        </is>
      </c>
      <c r="C3776" t="inlineStr">
        <is>
          <t>harshavardhan.m@osmosys.co</t>
        </is>
      </c>
      <c r="D3776" t="inlineStr">
        <is>
          <t>tp</t>
        </is>
      </c>
      <c r="E3776">
        <f>HYPERLINK("http://gitlab.osmosys.co/tp/TalonProAPI", "TalonProAPI")</f>
        <v/>
      </c>
      <c r="F3776">
        <f>HYPERLINK("http://gitlab.osmosys.co/tp/TalonProAPI/-/merge_requests/2135", "Merge branch 'dev/csv-to-datatable' into 'Staging_Development'")</f>
        <v/>
      </c>
      <c r="G3776" t="inlineStr">
        <is>
          <t>cherry-pick-9641e460</t>
        </is>
      </c>
      <c r="H3776" t="inlineStr">
        <is>
          <t>Staging_Temp_28July</t>
        </is>
      </c>
      <c r="I3776" t="inlineStr">
        <is>
          <t>merged</t>
        </is>
      </c>
      <c r="J3776" t="inlineStr"/>
      <c r="K3776" t="inlineStr"/>
      <c r="L3776" t="inlineStr"/>
      <c r="M3776" t="inlineStr"/>
      <c r="N3776" t="inlineStr"/>
      <c r="O3776" t="inlineStr"/>
      <c r="P3776" t="inlineStr"/>
      <c r="Q3776" t="inlineStr"/>
    </row>
    <row r="3777">
      <c r="A3777" t="inlineStr">
        <is>
          <t>harshavardhan.m</t>
        </is>
      </c>
      <c r="B3777" t="inlineStr">
        <is>
          <t xml:space="preserve">Mandali Harshavardhan </t>
        </is>
      </c>
      <c r="C3777" t="inlineStr">
        <is>
          <t>harshavardhan.m@osmosys.co</t>
        </is>
      </c>
      <c r="D3777" t="inlineStr">
        <is>
          <t>tp</t>
        </is>
      </c>
      <c r="E3777">
        <f>HYPERLINK("http://gitlab.osmosys.co/tp/TalonProAPI", "TalonProAPI")</f>
        <v/>
      </c>
      <c r="F3777">
        <f>HYPERLINK("http://gitlab.osmosys.co/tp/TalonProAPI/-/merge_requests/2134", "Merge branch 'T18402_Live_MonthlySmallReport' into 'Staging_Development'")</f>
        <v/>
      </c>
      <c r="G3777" t="inlineStr">
        <is>
          <t>cherry-pick-ee7135df</t>
        </is>
      </c>
      <c r="H3777" t="inlineStr">
        <is>
          <t>Staging_Temp_28July</t>
        </is>
      </c>
      <c r="I3777" t="inlineStr">
        <is>
          <t>merged</t>
        </is>
      </c>
      <c r="J3777" t="inlineStr"/>
      <c r="K3777" t="inlineStr"/>
      <c r="L3777" t="inlineStr"/>
      <c r="M3777" t="inlineStr"/>
      <c r="N3777" t="inlineStr"/>
      <c r="O3777" t="inlineStr"/>
      <c r="P3777" t="inlineStr"/>
      <c r="Q3777" t="inlineStr"/>
    </row>
    <row r="3778">
      <c r="A3778" t="inlineStr">
        <is>
          <t>harshavardhan.m</t>
        </is>
      </c>
      <c r="B3778" t="inlineStr">
        <is>
          <t xml:space="preserve">Mandali Harshavardhan </t>
        </is>
      </c>
      <c r="C3778" t="inlineStr">
        <is>
          <t>harshavardhan.m@osmosys.co</t>
        </is>
      </c>
      <c r="D3778" t="inlineStr">
        <is>
          <t>tp</t>
        </is>
      </c>
      <c r="E3778">
        <f>HYPERLINK("http://gitlab.osmosys.co/tp/TalonProAPI", "TalonProAPI")</f>
        <v/>
      </c>
      <c r="F3778">
        <f>HYPERLINK("http://gitlab.osmosys.co/tp/TalonProAPI/-/merge_requests/2133", "Merge branch 'TP360_PushToReloshare_total_column_fix' into 'Staging_Development'")</f>
        <v/>
      </c>
      <c r="G3778" t="inlineStr">
        <is>
          <t>cherry-pick-b9cc4edf</t>
        </is>
      </c>
      <c r="H3778" t="inlineStr">
        <is>
          <t>Staging_Temp_28July</t>
        </is>
      </c>
      <c r="I3778" t="inlineStr">
        <is>
          <t>merged</t>
        </is>
      </c>
      <c r="J3778" t="inlineStr"/>
      <c r="K3778" t="inlineStr"/>
      <c r="L3778" t="inlineStr"/>
      <c r="M3778" t="inlineStr"/>
      <c r="N3778" t="inlineStr"/>
      <c r="O3778" t="inlineStr"/>
      <c r="P3778" t="inlineStr"/>
      <c r="Q3778" t="inlineStr"/>
    </row>
    <row r="3779">
      <c r="A3779" t="inlineStr">
        <is>
          <t>harshavardhan.m</t>
        </is>
      </c>
      <c r="B3779" t="inlineStr">
        <is>
          <t xml:space="preserve">Mandali Harshavardhan </t>
        </is>
      </c>
      <c r="C3779" t="inlineStr">
        <is>
          <t>harshavardhan.m@osmosys.co</t>
        </is>
      </c>
      <c r="D3779" t="inlineStr">
        <is>
          <t>tp</t>
        </is>
      </c>
      <c r="E3779">
        <f>HYPERLINK("http://gitlab.osmosys.co/tp/TalonProAPI", "TalonProAPI")</f>
        <v/>
      </c>
      <c r="F3779">
        <f>HYPERLINK("http://gitlab.osmosys.co/tp/TalonProAPI/-/merge_requests/2131", "Merge branch 'Dev/check_request_changes' into 'Staging_Development'")</f>
        <v/>
      </c>
      <c r="G3779" t="inlineStr">
        <is>
          <t>cherry-pick-776af962</t>
        </is>
      </c>
      <c r="H3779" t="inlineStr">
        <is>
          <t>Staging_Temp_28July</t>
        </is>
      </c>
      <c r="I3779" t="inlineStr">
        <is>
          <t>merged</t>
        </is>
      </c>
      <c r="J3779" t="inlineStr"/>
      <c r="K3779" t="inlineStr"/>
      <c r="L3779" t="inlineStr"/>
      <c r="M3779" t="inlineStr"/>
      <c r="N3779" t="inlineStr"/>
      <c r="O3779" t="inlineStr"/>
      <c r="P3779" t="inlineStr"/>
      <c r="Q3779" t="inlineStr"/>
    </row>
    <row r="3780">
      <c r="A3780" t="inlineStr">
        <is>
          <t>harshavardhan.m</t>
        </is>
      </c>
      <c r="B3780" t="inlineStr">
        <is>
          <t xml:space="preserve">Mandali Harshavardhan </t>
        </is>
      </c>
      <c r="C3780" t="inlineStr">
        <is>
          <t>harshavardhan.m@osmosys.co</t>
        </is>
      </c>
      <c r="D3780" t="inlineStr">
        <is>
          <t>tp</t>
        </is>
      </c>
      <c r="E3780">
        <f>HYPERLINK("http://gitlab.osmosys.co/tp/TalonProAPI", "TalonProAPI")</f>
        <v/>
      </c>
      <c r="F3780">
        <f>HYPERLINK("http://gitlab.osmosys.co/tp/TalonProAPI/-/merge_requests/2123", "Merge branch 'dev/hotel-payment-confirmation' into 'Staging_Development'")</f>
        <v/>
      </c>
      <c r="G3780" t="inlineStr">
        <is>
          <t>cherry-pick-81ff729f</t>
        </is>
      </c>
      <c r="H3780" t="inlineStr">
        <is>
          <t>Staging_Temp_28July</t>
        </is>
      </c>
      <c r="I3780" t="inlineStr">
        <is>
          <t>merged</t>
        </is>
      </c>
      <c r="J3780" t="inlineStr"/>
      <c r="K3780" t="inlineStr"/>
      <c r="L3780" t="inlineStr"/>
      <c r="M3780" t="inlineStr"/>
      <c r="N3780" t="inlineStr"/>
      <c r="O3780" t="inlineStr"/>
      <c r="P3780" t="inlineStr"/>
      <c r="Q3780" t="inlineStr"/>
    </row>
    <row r="3781">
      <c r="A3781" t="inlineStr">
        <is>
          <t>harshavardhan.m</t>
        </is>
      </c>
      <c r="B3781" t="inlineStr">
        <is>
          <t xml:space="preserve">Mandali Harshavardhan </t>
        </is>
      </c>
      <c r="C3781" t="inlineStr">
        <is>
          <t>harshavardhan.m@osmosys.co</t>
        </is>
      </c>
      <c r="D3781" t="inlineStr">
        <is>
          <t>tp</t>
        </is>
      </c>
      <c r="E3781">
        <f>HYPERLINK("http://gitlab.osmosys.co/tp/TalonProAPI", "TalonProAPI")</f>
        <v/>
      </c>
      <c r="F3781">
        <f>HYPERLINK("http://gitlab.osmosys.co/tp/TalonProAPI/-/merge_requests/2120", "Move changes from Staging Development to Live bridge")</f>
        <v/>
      </c>
      <c r="G3781" t="inlineStr">
        <is>
          <t>Staging_Temp_28July</t>
        </is>
      </c>
      <c r="H3781" t="inlineStr">
        <is>
          <t>Live_Bridge</t>
        </is>
      </c>
      <c r="I3781" t="inlineStr">
        <is>
          <t>opened</t>
        </is>
      </c>
      <c r="J3781" t="inlineStr"/>
      <c r="K3781" t="inlineStr"/>
      <c r="L3781" t="inlineStr"/>
      <c r="M3781" t="inlineStr"/>
      <c r="N3781" t="inlineStr"/>
      <c r="O3781" t="inlineStr"/>
      <c r="P3781" t="inlineStr"/>
      <c r="Q3781" t="inlineStr"/>
    </row>
    <row r="3782">
      <c r="A3782" t="inlineStr">
        <is>
          <t>harshavardhan.m</t>
        </is>
      </c>
      <c r="B3782" t="inlineStr">
        <is>
          <t xml:space="preserve">Mandali Harshavardhan </t>
        </is>
      </c>
      <c r="C3782" t="inlineStr">
        <is>
          <t>harshavardhan.m@osmosys.co</t>
        </is>
      </c>
      <c r="D3782" t="inlineStr">
        <is>
          <t>tp</t>
        </is>
      </c>
      <c r="E3782">
        <f>HYPERLINK("http://gitlab.osmosys.co/tp/TalonProAPI", "TalonProAPI")</f>
        <v/>
      </c>
      <c r="F3782">
        <f>HYPERLINK("http://gitlab.osmosys.co/tp/TalonProAPI/-/merge_requests/2119", "Move all changes from Live Bridge to Development")</f>
        <v/>
      </c>
      <c r="G3782" t="inlineStr">
        <is>
          <t>Live_Bridge</t>
        </is>
      </c>
      <c r="H3782" t="inlineStr">
        <is>
          <t>Development</t>
        </is>
      </c>
      <c r="I3782" t="inlineStr">
        <is>
          <t>merged</t>
        </is>
      </c>
      <c r="J3782" t="inlineStr"/>
      <c r="K3782" t="inlineStr"/>
      <c r="L3782" t="inlineStr"/>
      <c r="M3782" t="inlineStr"/>
      <c r="N3782" t="inlineStr"/>
      <c r="O3782" t="inlineStr"/>
      <c r="P3782" t="inlineStr"/>
      <c r="Q3782" t="inlineStr"/>
    </row>
    <row r="3783">
      <c r="A3783" t="inlineStr">
        <is>
          <t>harshavardhan.m</t>
        </is>
      </c>
      <c r="B3783" t="inlineStr">
        <is>
          <t xml:space="preserve">Mandali Harshavardhan </t>
        </is>
      </c>
      <c r="C3783" t="inlineStr">
        <is>
          <t>harshavardhan.m@osmosys.co</t>
        </is>
      </c>
      <c r="D3783" t="inlineStr">
        <is>
          <t>tp</t>
        </is>
      </c>
      <c r="E3783">
        <f>HYPERLINK("http://gitlab.osmosys.co/tp/TalonProAPI", "TalonProAPI")</f>
        <v/>
      </c>
      <c r="F3783">
        <f>HYPERLINK("http://gitlab.osmosys.co/tp/TalonProAPI/-/merge_requests/2118", "Merge branch 'cherry-pick-bd25262f' into 'Staging_Development'")</f>
        <v/>
      </c>
      <c r="G3783" t="inlineStr">
        <is>
          <t>Live_Bridge</t>
        </is>
      </c>
      <c r="H3783" t="inlineStr">
        <is>
          <t>Staging_Development</t>
        </is>
      </c>
      <c r="I3783" t="inlineStr">
        <is>
          <t>merged</t>
        </is>
      </c>
      <c r="J3783" t="inlineStr"/>
      <c r="K3783" t="inlineStr"/>
      <c r="L3783" t="inlineStr"/>
      <c r="M3783" t="inlineStr"/>
      <c r="N3783" t="inlineStr"/>
      <c r="O3783" t="inlineStr"/>
      <c r="P3783" t="inlineStr"/>
      <c r="Q3783" t="inlineStr"/>
    </row>
    <row r="3784">
      <c r="A3784" t="inlineStr">
        <is>
          <t>harshavardhan.m</t>
        </is>
      </c>
      <c r="B3784" t="inlineStr">
        <is>
          <t xml:space="preserve">Mandali Harshavardhan </t>
        </is>
      </c>
      <c r="C3784" t="inlineStr">
        <is>
          <t>harshavardhan.m@osmosys.co</t>
        </is>
      </c>
      <c r="D3784" t="inlineStr">
        <is>
          <t>tp</t>
        </is>
      </c>
      <c r="E3784">
        <f>HYPERLINK("http://gitlab.osmosys.co/tp/TalonProAPI", "TalonProAPI")</f>
        <v/>
      </c>
      <c r="F3784">
        <f>HYPERLINK("http://gitlab.osmosys.co/tp/TalonProAPI/-/merge_requests/2117", "Merge branch 'Dev/17573_agent_note_flags' into 'PreTest_Development'")</f>
        <v/>
      </c>
      <c r="G3784" t="inlineStr">
        <is>
          <t>Staging_Development</t>
        </is>
      </c>
      <c r="H3784" t="inlineStr">
        <is>
          <t>Live_Bridge</t>
        </is>
      </c>
      <c r="I3784" t="inlineStr">
        <is>
          <t>closed</t>
        </is>
      </c>
      <c r="J3784" t="inlineStr"/>
      <c r="K3784" t="inlineStr"/>
      <c r="L3784" t="inlineStr"/>
      <c r="M3784" t="inlineStr"/>
      <c r="N3784" t="inlineStr"/>
      <c r="O3784" t="inlineStr"/>
      <c r="P3784" t="inlineStr"/>
      <c r="Q3784" t="inlineStr"/>
    </row>
    <row r="3785">
      <c r="A3785" t="inlineStr">
        <is>
          <t>harshavardhan.m</t>
        </is>
      </c>
      <c r="B3785" t="inlineStr">
        <is>
          <t xml:space="preserve">Mandali Harshavardhan </t>
        </is>
      </c>
      <c r="C3785" t="inlineStr">
        <is>
          <t>harshavardhan.m@osmosys.co</t>
        </is>
      </c>
      <c r="D3785" t="inlineStr">
        <is>
          <t>tp</t>
        </is>
      </c>
      <c r="E3785">
        <f>HYPERLINK("http://gitlab.osmosys.co/tp/TalonProAPI", "TalonProAPI")</f>
        <v/>
      </c>
      <c r="F3785">
        <f>HYPERLINK("http://gitlab.osmosys.co/tp/TalonProAPI/-/merge_requests/2107", "Merge branch 'Dev/Update_confirmation_param' into 'Staging_Development'")</f>
        <v/>
      </c>
      <c r="G3785" t="inlineStr">
        <is>
          <t>cherry-pick-a742b9d5</t>
        </is>
      </c>
      <c r="H3785" t="inlineStr">
        <is>
          <t>Live_Bridge</t>
        </is>
      </c>
      <c r="I3785" t="inlineStr">
        <is>
          <t>merged</t>
        </is>
      </c>
      <c r="J3785" t="inlineStr"/>
      <c r="K3785" t="inlineStr"/>
      <c r="L3785" t="inlineStr"/>
      <c r="M3785" t="inlineStr"/>
      <c r="N3785" t="inlineStr"/>
      <c r="O3785" t="inlineStr"/>
      <c r="P3785" t="inlineStr"/>
      <c r="Q3785" t="inlineStr"/>
    </row>
    <row r="3786">
      <c r="A3786" t="inlineStr">
        <is>
          <t>harshavardhan.m</t>
        </is>
      </c>
      <c r="B3786" t="inlineStr">
        <is>
          <t xml:space="preserve">Mandali Harshavardhan </t>
        </is>
      </c>
      <c r="C3786" t="inlineStr">
        <is>
          <t>harshavardhan.m@osmosys.co</t>
        </is>
      </c>
      <c r="D3786" t="inlineStr">
        <is>
          <t>tp</t>
        </is>
      </c>
      <c r="E3786">
        <f>HYPERLINK("http://gitlab.osmosys.co/tp/TalonProAPI", "TalonProAPI")</f>
        <v/>
      </c>
      <c r="F3786">
        <f>HYPERLINK("http://gitlab.osmosys.co/tp/TalonProAPI/-/merge_requests/2106", "Change Reloshare Confirmation param")</f>
        <v/>
      </c>
      <c r="G3786" t="inlineStr">
        <is>
          <t>Dev/Update_confirmation_param</t>
        </is>
      </c>
      <c r="H3786" t="inlineStr">
        <is>
          <t>Staging_Development</t>
        </is>
      </c>
      <c r="I3786" t="inlineStr">
        <is>
          <t>merged</t>
        </is>
      </c>
      <c r="J3786" t="inlineStr"/>
      <c r="K3786" t="inlineStr"/>
      <c r="L3786" t="inlineStr"/>
      <c r="M3786" t="inlineStr"/>
      <c r="N3786" t="inlineStr"/>
      <c r="O3786" t="inlineStr"/>
      <c r="P3786" t="inlineStr"/>
      <c r="Q3786" t="inlineStr"/>
    </row>
    <row r="3787">
      <c r="A3787" t="inlineStr">
        <is>
          <t>harshavardhan.m</t>
        </is>
      </c>
      <c r="B3787" t="inlineStr">
        <is>
          <t xml:space="preserve">Mandali Harshavardhan </t>
        </is>
      </c>
      <c r="C3787" t="inlineStr">
        <is>
          <t>harshavardhan.m@osmosys.co</t>
        </is>
      </c>
      <c r="D3787" t="inlineStr">
        <is>
          <t>tp</t>
        </is>
      </c>
      <c r="E3787">
        <f>HYPERLINK("http://gitlab.osmosys.co/tp/TalonProAPI", "TalonProAPI")</f>
        <v/>
      </c>
      <c r="F3787">
        <f>HYPERLINK("http://gitlab.osmosys.co/tp/TalonProAPI/-/merge_requests/2097", "Merge branch 'dev/archived-sites-api' into 'PreTest_Development'")</f>
        <v/>
      </c>
      <c r="G3787" t="inlineStr">
        <is>
          <t>cherry-pick-9260a489</t>
        </is>
      </c>
      <c r="H3787" t="inlineStr">
        <is>
          <t>Live_Bridge</t>
        </is>
      </c>
      <c r="I3787" t="inlineStr">
        <is>
          <t>merged</t>
        </is>
      </c>
      <c r="J3787" t="inlineStr"/>
      <c r="K3787" t="inlineStr"/>
      <c r="L3787" t="inlineStr"/>
      <c r="M3787" t="inlineStr"/>
      <c r="N3787" t="inlineStr"/>
      <c r="O3787" t="inlineStr"/>
      <c r="P3787" t="inlineStr"/>
      <c r="Q3787" t="inlineStr"/>
    </row>
    <row r="3788">
      <c r="A3788" t="inlineStr">
        <is>
          <t>harshavardhan.m</t>
        </is>
      </c>
      <c r="B3788" t="inlineStr">
        <is>
          <t xml:space="preserve">Mandali Harshavardhan </t>
        </is>
      </c>
      <c r="C3788" t="inlineStr">
        <is>
          <t>harshavardhan.m@osmosys.co</t>
        </is>
      </c>
      <c r="D3788" t="inlineStr">
        <is>
          <t>tp</t>
        </is>
      </c>
      <c r="E3788">
        <f>HYPERLINK("http://gitlab.osmosys.co/tp/TalonProAPI", "TalonProAPI")</f>
        <v/>
      </c>
      <c r="F3788">
        <f>HYPERLINK("http://gitlab.osmosys.co/tp/TalonProAPI/-/merge_requests/2082", "Merge branch 'Dev/17573_agent_note_flags' into 'PreTest_Development'")</f>
        <v/>
      </c>
      <c r="G3788" t="inlineStr">
        <is>
          <t>cherry-pick-781ce375</t>
        </is>
      </c>
      <c r="H3788" t="inlineStr">
        <is>
          <t>Staging_Development</t>
        </is>
      </c>
      <c r="I3788" t="inlineStr">
        <is>
          <t>merged</t>
        </is>
      </c>
      <c r="J3788" t="inlineStr"/>
      <c r="K3788" t="inlineStr"/>
      <c r="L3788" t="inlineStr"/>
      <c r="M3788" t="inlineStr"/>
      <c r="N3788" t="inlineStr"/>
      <c r="O3788" t="inlineStr"/>
      <c r="P3788" t="inlineStr"/>
      <c r="Q3788" t="inlineStr"/>
    </row>
    <row r="3789">
      <c r="A3789" t="inlineStr">
        <is>
          <t>harshavardhan.m</t>
        </is>
      </c>
      <c r="B3789" t="inlineStr">
        <is>
          <t xml:space="preserve">Mandali Harshavardhan </t>
        </is>
      </c>
      <c r="C3789" t="inlineStr">
        <is>
          <t>harshavardhan.m@osmosys.co</t>
        </is>
      </c>
      <c r="D3789" t="inlineStr">
        <is>
          <t>tp</t>
        </is>
      </c>
      <c r="E3789">
        <f>HYPERLINK("http://gitlab.osmosys.co/tp/TalonProAPI", "TalonProAPI")</f>
        <v/>
      </c>
      <c r="F3789">
        <f>HYPERLINK("http://gitlab.osmosys.co/tp/TalonProAPI/-/merge_requests/2078", "Move changes to Live bridge")</f>
        <v/>
      </c>
      <c r="G3789" t="inlineStr">
        <is>
          <t>Staging_Development</t>
        </is>
      </c>
      <c r="H3789" t="inlineStr">
        <is>
          <t>Live_Bridge</t>
        </is>
      </c>
      <c r="I3789" t="inlineStr">
        <is>
          <t>merged</t>
        </is>
      </c>
      <c r="J3789" t="inlineStr"/>
      <c r="K3789" t="inlineStr"/>
      <c r="L3789" t="inlineStr"/>
      <c r="M3789" t="inlineStr"/>
      <c r="N3789" t="inlineStr"/>
      <c r="O3789" t="inlineStr"/>
      <c r="P3789" t="inlineStr"/>
      <c r="Q3789" t="inlineStr"/>
    </row>
    <row r="3790">
      <c r="A3790" t="inlineStr">
        <is>
          <t>harshavardhan.m</t>
        </is>
      </c>
      <c r="B3790" t="inlineStr">
        <is>
          <t xml:space="preserve">Mandali Harshavardhan </t>
        </is>
      </c>
      <c r="C3790" t="inlineStr">
        <is>
          <t>harshavardhan.m@osmosys.co</t>
        </is>
      </c>
      <c r="D3790" t="inlineStr">
        <is>
          <t>tp</t>
        </is>
      </c>
      <c r="E3790">
        <f>HYPERLINK("http://gitlab.osmosys.co/tp/TalonProAPI", "TalonProAPI")</f>
        <v/>
      </c>
      <c r="F3790">
        <f>HYPERLINK("http://gitlab.osmosys.co/tp/TalonProAPI/-/merge_requests/2057", "Merge all the changes to Live bridge")</f>
        <v/>
      </c>
      <c r="G3790" t="inlineStr">
        <is>
          <t>Staging_Development</t>
        </is>
      </c>
      <c r="H3790" t="inlineStr">
        <is>
          <t>Live_Bridge</t>
        </is>
      </c>
      <c r="I3790" t="inlineStr">
        <is>
          <t>merged</t>
        </is>
      </c>
      <c r="J3790" t="inlineStr"/>
      <c r="K3790" t="inlineStr"/>
      <c r="L3790" t="inlineStr"/>
      <c r="M3790" t="inlineStr"/>
      <c r="N3790" t="inlineStr"/>
      <c r="O3790" t="inlineStr"/>
      <c r="P3790" t="inlineStr"/>
      <c r="Q3790" t="inlineStr"/>
    </row>
    <row r="3791">
      <c r="A3791" t="inlineStr">
        <is>
          <t>harshavardhan.m</t>
        </is>
      </c>
      <c r="B3791" t="inlineStr">
        <is>
          <t xml:space="preserve">Mandali Harshavardhan </t>
        </is>
      </c>
      <c r="C3791" t="inlineStr">
        <is>
          <t>harshavardhan.m@osmosys.co</t>
        </is>
      </c>
      <c r="D3791" t="inlineStr">
        <is>
          <t>tp</t>
        </is>
      </c>
      <c r="E3791">
        <f>HYPERLINK("http://gitlab.osmosys.co/tp/TalonProAPI", "TalonProAPI")</f>
        <v/>
      </c>
      <c r="F3791">
        <f>HYPERLINK("http://gitlab.osmosys.co/tp/TalonProAPI/-/merge_requests/2056", "Merge all the changes to Development")</f>
        <v/>
      </c>
      <c r="G3791" t="inlineStr">
        <is>
          <t>Live_Bridge</t>
        </is>
      </c>
      <c r="H3791" t="inlineStr">
        <is>
          <t>Development</t>
        </is>
      </c>
      <c r="I3791" t="inlineStr">
        <is>
          <t>merged</t>
        </is>
      </c>
      <c r="J3791" t="inlineStr"/>
      <c r="K3791" t="inlineStr"/>
      <c r="L3791" t="inlineStr"/>
      <c r="M3791" t="inlineStr"/>
      <c r="N3791" t="inlineStr"/>
      <c r="O3791" t="inlineStr"/>
      <c r="P3791" t="inlineStr"/>
      <c r="Q3791" t="inlineStr"/>
    </row>
    <row r="3792">
      <c r="A3792" t="inlineStr">
        <is>
          <t>harshavardhan.m</t>
        </is>
      </c>
      <c r="B3792" t="inlineStr">
        <is>
          <t xml:space="preserve">Mandali Harshavardhan </t>
        </is>
      </c>
      <c r="C3792" t="inlineStr">
        <is>
          <t>harshavardhan.m@osmosys.co</t>
        </is>
      </c>
      <c r="D3792" t="inlineStr">
        <is>
          <t>tp</t>
        </is>
      </c>
      <c r="E3792">
        <f>HYPERLINK("http://gitlab.osmosys.co/tp/TalonProAPI", "TalonProAPI")</f>
        <v/>
      </c>
      <c r="F3792">
        <f>HYPERLINK("http://gitlab.osmosys.co/tp/TalonProAPI/-/merge_requests/2054", "Merge branch 'dev/alt-transition-changes' into 'Staging_Development'")</f>
        <v/>
      </c>
      <c r="G3792" t="inlineStr">
        <is>
          <t>PenTest_HMAC</t>
        </is>
      </c>
      <c r="H3792" t="inlineStr">
        <is>
          <t>Staging_Development</t>
        </is>
      </c>
      <c r="I3792" t="inlineStr">
        <is>
          <t>merged</t>
        </is>
      </c>
      <c r="J3792" t="inlineStr"/>
      <c r="K3792" t="inlineStr"/>
      <c r="L3792" t="inlineStr"/>
      <c r="M3792" t="inlineStr"/>
      <c r="N3792" t="inlineStr"/>
      <c r="O3792" t="inlineStr"/>
      <c r="P3792" t="inlineStr"/>
      <c r="Q3792" t="inlineStr"/>
    </row>
    <row r="3793">
      <c r="A3793" t="inlineStr">
        <is>
          <t>harshavardhan.m</t>
        </is>
      </c>
      <c r="B3793" t="inlineStr">
        <is>
          <t xml:space="preserve">Mandali Harshavardhan </t>
        </is>
      </c>
      <c r="C3793" t="inlineStr">
        <is>
          <t>harshavardhan.m@osmosys.co</t>
        </is>
      </c>
      <c r="D3793" t="inlineStr">
        <is>
          <t>tp</t>
        </is>
      </c>
      <c r="E3793">
        <f>HYPERLINK("http://gitlab.osmosys.co/tp/TalonProAPI", "TalonProAPI")</f>
        <v/>
      </c>
      <c r="F3793">
        <f>HYPERLINK("http://gitlab.osmosys.co/tp/TalonProAPI/-/merge_requests/2052", "Merge branch 'Fix/14497_support_and_requet_sync' into 'PreTest_Development'")</f>
        <v/>
      </c>
      <c r="G3793" t="inlineStr">
        <is>
          <t>Staging_Development</t>
        </is>
      </c>
      <c r="H3793" t="inlineStr">
        <is>
          <t>Live_Bridge</t>
        </is>
      </c>
      <c r="I3793" t="inlineStr">
        <is>
          <t>merged</t>
        </is>
      </c>
      <c r="J3793" t="inlineStr"/>
      <c r="K3793" t="inlineStr"/>
      <c r="L3793" t="inlineStr"/>
      <c r="M3793" t="inlineStr"/>
      <c r="N3793" t="inlineStr"/>
      <c r="O3793" t="inlineStr"/>
      <c r="P3793" t="inlineStr"/>
      <c r="Q3793" t="inlineStr"/>
    </row>
    <row r="3794">
      <c r="A3794" t="inlineStr">
        <is>
          <t>harshavardhan.m</t>
        </is>
      </c>
      <c r="B3794" t="inlineStr">
        <is>
          <t xml:space="preserve">Mandali Harshavardhan </t>
        </is>
      </c>
      <c r="C3794" t="inlineStr">
        <is>
          <t>harshavardhan.m@osmosys.co</t>
        </is>
      </c>
      <c r="D3794" t="inlineStr">
        <is>
          <t>tp</t>
        </is>
      </c>
      <c r="E3794">
        <f>HYPERLINK("http://gitlab.osmosys.co/tp/TalonProAPI", "TalonProAPI")</f>
        <v/>
      </c>
      <c r="F3794">
        <f>HYPERLINK("http://gitlab.osmosys.co/tp/TalonProAPI/-/merge_requests/2045", "Merge branch 'hotfix/fix-reservation-query' into 'PreTest_Development'")</f>
        <v/>
      </c>
      <c r="G3794" t="inlineStr">
        <is>
          <t>cherry-pick-89fd30b5</t>
        </is>
      </c>
      <c r="H3794" t="inlineStr">
        <is>
          <t>Staging_Development</t>
        </is>
      </c>
      <c r="I3794" t="inlineStr">
        <is>
          <t>merged</t>
        </is>
      </c>
      <c r="J3794" t="inlineStr"/>
      <c r="K3794" t="inlineStr"/>
      <c r="L3794" t="inlineStr"/>
      <c r="M3794" t="inlineStr"/>
      <c r="N3794" t="inlineStr"/>
      <c r="O3794" t="inlineStr"/>
      <c r="P3794" t="inlineStr"/>
      <c r="Q3794" t="inlineStr"/>
    </row>
    <row r="3795">
      <c r="A3795" t="inlineStr">
        <is>
          <t>harshavardhan.m</t>
        </is>
      </c>
      <c r="B3795" t="inlineStr">
        <is>
          <t xml:space="preserve">Mandali Harshavardhan </t>
        </is>
      </c>
      <c r="C3795" t="inlineStr">
        <is>
          <t>harshavardhan.m@osmosys.co</t>
        </is>
      </c>
      <c r="D3795" t="inlineStr">
        <is>
          <t>tp</t>
        </is>
      </c>
      <c r="E3795">
        <f>HYPERLINK("http://gitlab.osmosys.co/tp/homtrakapi", "HomTrakAPI")</f>
        <v/>
      </c>
      <c r="F3795">
        <f>HYPERLINK("http://gitlab.osmosys.co/tp/homtrakapi/-/merge_requests/56", "Move all pentest changes to Staging Development")</f>
        <v/>
      </c>
      <c r="G3795" t="inlineStr">
        <is>
          <t>dev/pentest_changes</t>
        </is>
      </c>
      <c r="H3795" t="inlineStr">
        <is>
          <t>Staging_Development</t>
        </is>
      </c>
      <c r="I3795" t="inlineStr">
        <is>
          <t>merged</t>
        </is>
      </c>
      <c r="J3795" t="inlineStr"/>
      <c r="K3795" t="inlineStr"/>
      <c r="L3795" t="inlineStr"/>
      <c r="M3795" t="inlineStr"/>
      <c r="N3795" t="inlineStr"/>
      <c r="O3795" t="inlineStr"/>
      <c r="P3795" t="inlineStr"/>
      <c r="Q3795" t="inlineStr"/>
    </row>
    <row r="3796">
      <c r="A3796" t="inlineStr">
        <is>
          <t>sephali.k</t>
        </is>
      </c>
      <c r="B3796" t="inlineStr">
        <is>
          <t>Sephali Kumari</t>
        </is>
      </c>
      <c r="C3796" t="inlineStr">
        <is>
          <t>sephali.k@osmosys.co</t>
        </is>
      </c>
      <c r="D3796" t="inlineStr">
        <is>
          <t>incident-reporter</t>
        </is>
      </c>
      <c r="E3796">
        <f>HYPERLINK("http://gitlab.osmosys.co/incident-reporter/incident-reporter-api", "OQSHA-API")</f>
        <v/>
      </c>
      <c r="F3796">
        <f>HYPERLINK("http://gitlab.osmosys.co/incident-reporter/incident-reporter-api/-/merge_requests/4479", "fix: added fix for ptw details repo code")</f>
        <v/>
      </c>
      <c r="G3796" t="inlineStr">
        <is>
          <t>fix/ptw-details-status</t>
        </is>
      </c>
      <c r="H3796" t="inlineStr">
        <is>
          <t>sprint-19</t>
        </is>
      </c>
      <c r="I3796" t="inlineStr">
        <is>
          <t>opened</t>
        </is>
      </c>
      <c r="J3796" t="inlineStr"/>
      <c r="K3796" t="inlineStr"/>
      <c r="L3796" t="inlineStr"/>
      <c r="M3796" t="inlineStr"/>
      <c r="N3796" t="inlineStr"/>
      <c r="O3796" t="inlineStr"/>
      <c r="P3796" t="inlineStr"/>
      <c r="Q3796" t="inlineStr"/>
    </row>
    <row r="3797">
      <c r="A3797" t="inlineStr">
        <is>
          <t>sephali.k</t>
        </is>
      </c>
      <c r="B3797" t="inlineStr">
        <is>
          <t>Sephali Kumari</t>
        </is>
      </c>
      <c r="C3797" t="inlineStr">
        <is>
          <t>sephali.k@osmosys.co</t>
        </is>
      </c>
      <c r="D3797" t="inlineStr">
        <is>
          <t>incident-reporter</t>
        </is>
      </c>
      <c r="E3797">
        <f>HYPERLINK("http://gitlab.osmosys.co/incident-reporter/incident-reporter-api", "OQSHA-API")</f>
        <v/>
      </c>
      <c r="F3797">
        <f>HYPERLINK("http://gitlab.osmosys.co/incident-reporter/incident-reporter-api/-/merge_requests/4478", "fix: moc attachments api repo function")</f>
        <v/>
      </c>
      <c r="G3797" t="inlineStr">
        <is>
          <t>fix/moc-attchments-api</t>
        </is>
      </c>
      <c r="H3797" t="inlineStr">
        <is>
          <t>sprint-19</t>
        </is>
      </c>
      <c r="I3797" t="inlineStr">
        <is>
          <t>opened</t>
        </is>
      </c>
      <c r="J3797" t="inlineStr"/>
      <c r="K3797" t="inlineStr"/>
      <c r="L3797" t="inlineStr"/>
      <c r="M3797" t="inlineStr"/>
      <c r="N3797" t="inlineStr"/>
      <c r="O3797" t="inlineStr"/>
      <c r="P3797" t="inlineStr"/>
      <c r="Q3797" t="inlineStr"/>
    </row>
    <row r="3798">
      <c r="A3798" t="inlineStr">
        <is>
          <t>sephali.k</t>
        </is>
      </c>
      <c r="B3798" t="inlineStr">
        <is>
          <t>Sephali Kumari</t>
        </is>
      </c>
      <c r="C3798" t="inlineStr">
        <is>
          <t>sephali.k@osmosys.co</t>
        </is>
      </c>
      <c r="D3798" t="inlineStr">
        <is>
          <t>incident-reporter</t>
        </is>
      </c>
      <c r="E3798">
        <f>HYPERLINK("http://gitlab.osmosys.co/incident-reporter/incident-reporter-api", "OQSHA-API")</f>
        <v/>
      </c>
      <c r="F3798">
        <f>HYPERLINK("http://gitlab.osmosys.co/incident-reporter/incident-reporter-api/-/merge_requests/4477", "fix: revert changes for moc check for moc category lists api")</f>
        <v/>
      </c>
      <c r="G3798" t="inlineStr">
        <is>
          <t>fix/revert-moc-check-lists</t>
        </is>
      </c>
      <c r="H3798" t="inlineStr">
        <is>
          <t>sprint-19</t>
        </is>
      </c>
      <c r="I3798" t="inlineStr">
        <is>
          <t>merged</t>
        </is>
      </c>
      <c r="J3798" t="inlineStr"/>
      <c r="K3798" t="inlineStr"/>
      <c r="L3798" t="inlineStr"/>
      <c r="M3798" t="inlineStr"/>
      <c r="N3798" t="inlineStr"/>
      <c r="O3798" t="inlineStr"/>
      <c r="P3798" t="inlineStr"/>
      <c r="Q3798" t="inlineStr"/>
    </row>
    <row r="3799">
      <c r="A3799" t="inlineStr">
        <is>
          <t>sephali.k</t>
        </is>
      </c>
      <c r="B3799" t="inlineStr">
        <is>
          <t>Sephali Kumari</t>
        </is>
      </c>
      <c r="C3799" t="inlineStr">
        <is>
          <t>sephali.k@osmosys.co</t>
        </is>
      </c>
      <c r="D3799" t="inlineStr">
        <is>
          <t>incident-reporter</t>
        </is>
      </c>
      <c r="E3799">
        <f>HYPERLINK("http://gitlab.osmosys.co/incident-reporter/incident-reporter-api", "OQSHA-API")</f>
        <v/>
      </c>
      <c r="F3799">
        <f>HYPERLINK("http://gitlab.osmosys.co/incident-reporter/incident-reporter-api/-/merge_requests/4471", "fix: add a fix for PTW user involved data duplication issue")</f>
        <v/>
      </c>
      <c r="G3799" t="inlineStr">
        <is>
          <t>fix/ptw-multiple-user-involved</t>
        </is>
      </c>
      <c r="H3799" t="inlineStr">
        <is>
          <t>sprint-19</t>
        </is>
      </c>
      <c r="I3799" t="inlineStr">
        <is>
          <t>merged</t>
        </is>
      </c>
      <c r="J3799" t="inlineStr"/>
      <c r="K3799" t="inlineStr"/>
      <c r="L3799" t="inlineStr"/>
      <c r="M3799" t="inlineStr"/>
      <c r="N3799" t="inlineStr"/>
      <c r="O3799" t="inlineStr"/>
      <c r="P3799" t="inlineStr"/>
      <c r="Q3799" t="inlineStr"/>
    </row>
    <row r="3800">
      <c r="A3800" t="inlineStr">
        <is>
          <t>sephali.k</t>
        </is>
      </c>
      <c r="B3800" t="inlineStr">
        <is>
          <t>Sephali Kumari</t>
        </is>
      </c>
      <c r="C3800" t="inlineStr">
        <is>
          <t>sephali.k@osmosys.co</t>
        </is>
      </c>
      <c r="D3800" t="inlineStr">
        <is>
          <t>incident-reporter</t>
        </is>
      </c>
      <c r="E3800">
        <f>HYPERLINK("http://gitlab.osmosys.co/incident-reporter/incident-reporter-api", "OQSHA-API")</f>
        <v/>
      </c>
      <c r="F3800">
        <f>HYPERLINK("http://gitlab.osmosys.co/incident-reporter/incident-reporter-api/-/merge_requests/4469", "feat: add draft status for task")</f>
        <v/>
      </c>
      <c r="G3800" t="inlineStr">
        <is>
          <t>feat/task-draft-status-update</t>
        </is>
      </c>
      <c r="H3800" t="inlineStr">
        <is>
          <t>sprint-19</t>
        </is>
      </c>
      <c r="I3800" t="inlineStr">
        <is>
          <t>merged</t>
        </is>
      </c>
      <c r="J3800" t="inlineStr"/>
      <c r="K3800" t="inlineStr"/>
      <c r="L3800" t="inlineStr"/>
      <c r="M3800" t="inlineStr"/>
      <c r="N3800" t="inlineStr"/>
      <c r="O3800" t="inlineStr"/>
      <c r="P3800" t="inlineStr"/>
      <c r="Q3800" t="inlineStr"/>
    </row>
    <row r="3801">
      <c r="A3801" t="inlineStr">
        <is>
          <t>sephali.k</t>
        </is>
      </c>
      <c r="B3801" t="inlineStr">
        <is>
          <t>Sephali Kumari</t>
        </is>
      </c>
      <c r="C3801" t="inlineStr">
        <is>
          <t>sephali.k@osmosys.co</t>
        </is>
      </c>
      <c r="D3801" t="inlineStr">
        <is>
          <t>incident-reporter</t>
        </is>
      </c>
      <c r="E3801">
        <f>HYPERLINK("http://gitlab.osmosys.co/incident-reporter/incident-reporter-api", "OQSHA-API")</f>
        <v/>
      </c>
      <c r="F3801">
        <f>HYPERLINK("http://gitlab.osmosys.co/incident-reporter/incident-reporter-api/-/merge_requests/4443", "feat: add contractor participants to batch")</f>
        <v/>
      </c>
      <c r="G3801" t="inlineStr">
        <is>
          <t>feat/batch-contractors</t>
        </is>
      </c>
      <c r="H3801" t="inlineStr">
        <is>
          <t>sprint-19</t>
        </is>
      </c>
      <c r="I3801" t="inlineStr">
        <is>
          <t>merged</t>
        </is>
      </c>
      <c r="J3801" t="inlineStr"/>
      <c r="K3801" t="inlineStr"/>
      <c r="L3801" t="inlineStr"/>
      <c r="M3801" t="inlineStr"/>
      <c r="N3801" t="inlineStr"/>
      <c r="O3801" t="inlineStr"/>
      <c r="P3801" t="inlineStr"/>
      <c r="Q3801" t="inlineStr"/>
    </row>
    <row r="3802">
      <c r="A3802" t="inlineStr">
        <is>
          <t>sephali.k</t>
        </is>
      </c>
      <c r="B3802" t="inlineStr">
        <is>
          <t>Sephali Kumari</t>
        </is>
      </c>
      <c r="C3802" t="inlineStr">
        <is>
          <t>sephali.k@osmosys.co</t>
        </is>
      </c>
      <c r="D3802" t="inlineStr">
        <is>
          <t>incident-reporter</t>
        </is>
      </c>
      <c r="E3802">
        <f>HYPERLINK("http://gitlab.osmosys.co/incident-reporter/incident-reporter-api", "OQSHA-API")</f>
        <v/>
      </c>
      <c r="F3802">
        <f>HYPERLINK("http://gitlab.osmosys.co/incident-reporter/incident-reporter-api/-/merge_requests/4434", "fix: add fix for moc notifications")</f>
        <v/>
      </c>
      <c r="G3802" t="inlineStr">
        <is>
          <t>fix/moc-create-notifications</t>
        </is>
      </c>
      <c r="H3802" t="inlineStr">
        <is>
          <t>sprint-18</t>
        </is>
      </c>
      <c r="I3802" t="inlineStr">
        <is>
          <t>opened</t>
        </is>
      </c>
      <c r="J3802" t="inlineStr"/>
      <c r="K3802" t="inlineStr"/>
      <c r="L3802" t="inlineStr"/>
      <c r="M3802" t="inlineStr"/>
      <c r="N3802" t="inlineStr"/>
      <c r="O3802" t="inlineStr"/>
      <c r="P3802" t="inlineStr"/>
      <c r="Q3802" t="inlineStr"/>
    </row>
    <row r="3803">
      <c r="A3803" t="inlineStr">
        <is>
          <t>sephali.k</t>
        </is>
      </c>
      <c r="B3803" t="inlineStr">
        <is>
          <t>Sephali Kumari</t>
        </is>
      </c>
      <c r="C3803" t="inlineStr">
        <is>
          <t>sephali.k@osmosys.co</t>
        </is>
      </c>
      <c r="D3803" t="inlineStr">
        <is>
          <t>incident-reporter</t>
        </is>
      </c>
      <c r="E3803">
        <f>HYPERLINK("http://gitlab.osmosys.co/incident-reporter/incident-reporter-api", "OQSHA-API")</f>
        <v/>
      </c>
      <c r="F3803">
        <f>HYPERLINK("http://gitlab.osmosys.co/incident-reporter/incident-reporter-api/-/merge_requests/4426", "feat: update email template for incident update notifications")</f>
        <v/>
      </c>
      <c r="G3803" t="inlineStr">
        <is>
          <t>feat/incidents-tamplate-update</t>
        </is>
      </c>
      <c r="H3803" t="inlineStr">
        <is>
          <t>sprint-19</t>
        </is>
      </c>
      <c r="I3803" t="inlineStr">
        <is>
          <t>merged</t>
        </is>
      </c>
      <c r="J3803" t="inlineStr"/>
      <c r="K3803" t="inlineStr"/>
      <c r="L3803" t="inlineStr"/>
      <c r="M3803" t="inlineStr"/>
      <c r="N3803" t="inlineStr"/>
      <c r="O3803" t="inlineStr"/>
      <c r="P3803" t="inlineStr"/>
      <c r="Q3803" t="inlineStr"/>
    </row>
    <row r="3804">
      <c r="A3804" t="inlineStr">
        <is>
          <t>sephali.k</t>
        </is>
      </c>
      <c r="B3804" t="inlineStr">
        <is>
          <t>Sephali Kumari</t>
        </is>
      </c>
      <c r="C3804" t="inlineStr">
        <is>
          <t>sephali.k@osmosys.co</t>
        </is>
      </c>
      <c r="D3804" t="inlineStr">
        <is>
          <t>incident-reporter</t>
        </is>
      </c>
      <c r="E3804">
        <f>HYPERLINK("http://gitlab.osmosys.co/incident-reporter/incident-reporter-api", "OQSHA-API")</f>
        <v/>
      </c>
      <c r="F3804">
        <f>HYPERLINK("http://gitlab.osmosys.co/incident-reporter/incident-reporter-api/-/merge_requests/4421", "fix: add fix for ptw commented by attribute")</f>
        <v/>
      </c>
      <c r="G3804" t="inlineStr">
        <is>
          <t>fix/ptw-commented-by</t>
        </is>
      </c>
      <c r="H3804" t="inlineStr">
        <is>
          <t>sprint-18</t>
        </is>
      </c>
      <c r="I3804" t="inlineStr">
        <is>
          <t>merged</t>
        </is>
      </c>
      <c r="J3804" t="inlineStr"/>
      <c r="K3804" t="inlineStr"/>
      <c r="L3804" t="inlineStr"/>
      <c r="M3804" t="inlineStr"/>
      <c r="N3804" t="inlineStr"/>
      <c r="O3804" t="inlineStr"/>
      <c r="P3804" t="inlineStr"/>
      <c r="Q3804" t="inlineStr"/>
    </row>
    <row r="3805">
      <c r="A3805" t="inlineStr">
        <is>
          <t>sephali.k</t>
        </is>
      </c>
      <c r="B3805" t="inlineStr">
        <is>
          <t>Sephali Kumari</t>
        </is>
      </c>
      <c r="C3805" t="inlineStr">
        <is>
          <t>sephali.k@osmosys.co</t>
        </is>
      </c>
      <c r="D3805" t="inlineStr">
        <is>
          <t>incident-reporter</t>
        </is>
      </c>
      <c r="E3805">
        <f>HYPERLINK("http://gitlab.osmosys.co/incident-reporter/incident-reporter-api", "OQSHA-API")</f>
        <v/>
      </c>
      <c r="F3805">
        <f>HYPERLINK("http://gitlab.osmosys.co/incident-reporter/incident-reporter-api/-/merge_requests/4420", "feat: add contractor participants to batch")</f>
        <v/>
      </c>
      <c r="G3805" t="inlineStr">
        <is>
          <t>feat/batch-contractor-participants</t>
        </is>
      </c>
      <c r="H3805" t="inlineStr">
        <is>
          <t>sprint-18</t>
        </is>
      </c>
      <c r="I3805" t="inlineStr">
        <is>
          <t>merged</t>
        </is>
      </c>
      <c r="J3805" t="inlineStr">
        <is>
          <t>7b0d3891acfe5eaf70567847deaf18b38f056b25</t>
        </is>
      </c>
      <c r="K3805">
        <f>HYPERLINK("http://gitlab.osmosys.co/incident-reporter/incident-reporter-api/-/merge_requests/4420#note_245371", "Why do we need participant_name? if you have this then remove worker name
And update the target branch to sprint-19")</f>
        <v/>
      </c>
      <c r="L3805" t="inlineStr">
        <is>
          <t>2025-08-01 14:19:00.680 IST</t>
        </is>
      </c>
      <c r="M3805" t="inlineStr">
        <is>
          <t>Sindhusha</t>
        </is>
      </c>
      <c r="N3805" t="inlineStr">
        <is>
          <t>Yes</t>
        </is>
      </c>
      <c r="O3805" t="inlineStr">
        <is>
          <t>Yes</t>
        </is>
      </c>
      <c r="P3805" t="inlineStr">
        <is>
          <t>Sindhusha</t>
        </is>
      </c>
      <c r="Q3805" t="inlineStr">
        <is>
          <t>Bad</t>
        </is>
      </c>
    </row>
    <row r="3806">
      <c r="A3806" t="inlineStr">
        <is>
          <t>sephali.k</t>
        </is>
      </c>
      <c r="B3806" t="inlineStr">
        <is>
          <t>Sephali Kumari</t>
        </is>
      </c>
      <c r="C3806" t="inlineStr">
        <is>
          <t>sephali.k@osmosys.co</t>
        </is>
      </c>
      <c r="D3806" t="inlineStr">
        <is>
          <t>incident-reporter</t>
        </is>
      </c>
      <c r="E3806">
        <f>HYPERLINK("http://gitlab.osmosys.co/incident-reporter/incident-reporter-api", "OQSHA-API")</f>
        <v/>
      </c>
      <c r="F3806">
        <f>HYPERLINK("http://gitlab.osmosys.co/incident-reporter/incident-reporter-api/-/merge_requests/4420", "feat: add contractor participants to batch")</f>
        <v/>
      </c>
      <c r="G3806" t="inlineStr">
        <is>
          <t>feat/batch-contractor-participants</t>
        </is>
      </c>
      <c r="H3806" t="inlineStr">
        <is>
          <t>sprint-18</t>
        </is>
      </c>
      <c r="I3806" t="inlineStr">
        <is>
          <t>merged</t>
        </is>
      </c>
      <c r="J3806" t="inlineStr">
        <is>
          <t>99a7668349d809c3cf025a6e966e72bbb7ce1a5b</t>
        </is>
      </c>
      <c r="K3806">
        <f>HYPERLINK("http://gitlab.osmosys.co/incident-reporter/incident-reporter-api/-/merge_requests/4420#note_245379", "What are you trying to do here?
If you are checking for duplicate contractor workers. You must check both contractor name &amp; worker name combination. I might have same worker name in different contractor companies.")</f>
        <v/>
      </c>
      <c r="L3806" t="inlineStr">
        <is>
          <t>2025-08-01 14:23:46.246 IST</t>
        </is>
      </c>
      <c r="M3806" t="inlineStr">
        <is>
          <t>Sindhusha</t>
        </is>
      </c>
      <c r="N3806" t="inlineStr">
        <is>
          <t>Yes</t>
        </is>
      </c>
      <c r="O3806" t="inlineStr">
        <is>
          <t>Yes</t>
        </is>
      </c>
      <c r="P3806" t="inlineStr">
        <is>
          <t>Sindhusha</t>
        </is>
      </c>
      <c r="Q3806" t="inlineStr">
        <is>
          <t>Bad</t>
        </is>
      </c>
    </row>
    <row r="3807">
      <c r="A3807" t="inlineStr">
        <is>
          <t>sephali.k</t>
        </is>
      </c>
      <c r="B3807" t="inlineStr">
        <is>
          <t>Sephali Kumari</t>
        </is>
      </c>
      <c r="C3807" t="inlineStr">
        <is>
          <t>sephali.k@osmosys.co</t>
        </is>
      </c>
      <c r="D3807" t="inlineStr">
        <is>
          <t>incident-reporter</t>
        </is>
      </c>
      <c r="E3807">
        <f>HYPERLINK("http://gitlab.osmosys.co/incident-reporter/incident-reporter-api", "OQSHA-API")</f>
        <v/>
      </c>
      <c r="F3807">
        <f>HYPERLINK("http://gitlab.osmosys.co/incident-reporter/incident-reporter-api/-/merge_requests/4406", "fix: add a fix for active ptw count for cancelled status")</f>
        <v/>
      </c>
      <c r="G3807" t="inlineStr">
        <is>
          <t>fix/add-cancelled-status-check</t>
        </is>
      </c>
      <c r="H3807" t="inlineStr">
        <is>
          <t>sprint-18</t>
        </is>
      </c>
      <c r="I3807" t="inlineStr">
        <is>
          <t>merged</t>
        </is>
      </c>
      <c r="J3807" t="inlineStr"/>
      <c r="K3807" t="inlineStr"/>
      <c r="L3807" t="inlineStr"/>
      <c r="M3807" t="inlineStr"/>
      <c r="N3807" t="inlineStr"/>
      <c r="O3807" t="inlineStr"/>
      <c r="P3807" t="inlineStr"/>
      <c r="Q3807" t="inlineStr"/>
    </row>
    <row r="3808">
      <c r="A3808" t="inlineStr">
        <is>
          <t>sephali.k</t>
        </is>
      </c>
      <c r="B3808" t="inlineStr">
        <is>
          <t>Sephali Kumari</t>
        </is>
      </c>
      <c r="C3808" t="inlineStr">
        <is>
          <t>sephali.k@osmosys.co</t>
        </is>
      </c>
      <c r="D3808" t="inlineStr">
        <is>
          <t>incident-reporter</t>
        </is>
      </c>
      <c r="E3808">
        <f>HYPERLINK("http://gitlab.osmosys.co/incident-reporter/incident-reporter-api", "OQSHA-API")</f>
        <v/>
      </c>
      <c r="F3808">
        <f>HYPERLINK("http://gitlab.osmosys.co/incident-reporter/incident-reporter-api/-/merge_requests/4405", "fix: add fix for active ptw count for abandoned status")</f>
        <v/>
      </c>
      <c r="G3808" t="inlineStr">
        <is>
          <t>fix/add-abandoned-status-check</t>
        </is>
      </c>
      <c r="H3808" t="inlineStr">
        <is>
          <t>sprint-18</t>
        </is>
      </c>
      <c r="I3808" t="inlineStr">
        <is>
          <t>merged</t>
        </is>
      </c>
      <c r="J3808" t="inlineStr"/>
      <c r="K3808" t="inlineStr"/>
      <c r="L3808" t="inlineStr"/>
      <c r="M3808" t="inlineStr"/>
      <c r="N3808" t="inlineStr"/>
      <c r="O3808" t="inlineStr"/>
      <c r="P3808" t="inlineStr"/>
      <c r="Q3808" t="inlineStr"/>
    </row>
    <row r="3809">
      <c r="A3809" t="inlineStr">
        <is>
          <t>sephali.k</t>
        </is>
      </c>
      <c r="B3809" t="inlineStr">
        <is>
          <t>Sephali Kumari</t>
        </is>
      </c>
      <c r="C3809" t="inlineStr">
        <is>
          <t>sephali.k@osmosys.co</t>
        </is>
      </c>
      <c r="D3809" t="inlineStr">
        <is>
          <t>incident-reporter</t>
        </is>
      </c>
      <c r="E3809">
        <f>HYPERLINK("http://gitlab.osmosys.co/incident-reporter/incident-reporter-api", "OQSHA-API")</f>
        <v/>
      </c>
      <c r="F3809">
        <f>HYPERLINK("http://gitlab.osmosys.co/incident-reporter/incident-reporter-api/-/merge_requests/4382", "feat: add RestrictPtwCreationOnActiveForUser flag in ptw preferences")</f>
        <v/>
      </c>
      <c r="G3809" t="inlineStr">
        <is>
          <t>feat/add-ptw-active-check-flag</t>
        </is>
      </c>
      <c r="H3809" t="inlineStr">
        <is>
          <t>sprint-18</t>
        </is>
      </c>
      <c r="I3809" t="inlineStr">
        <is>
          <t>merged</t>
        </is>
      </c>
      <c r="J3809" t="inlineStr"/>
      <c r="K3809" t="inlineStr"/>
      <c r="L3809" t="inlineStr"/>
      <c r="M3809" t="inlineStr"/>
      <c r="N3809" t="inlineStr"/>
      <c r="O3809" t="inlineStr"/>
      <c r="P3809" t="inlineStr"/>
      <c r="Q3809" t="inlineStr"/>
    </row>
    <row r="3810">
      <c r="A3810" t="inlineStr">
        <is>
          <t>sephali.k</t>
        </is>
      </c>
      <c r="B3810" t="inlineStr">
        <is>
          <t>Sephali Kumari</t>
        </is>
      </c>
      <c r="C3810" t="inlineStr">
        <is>
          <t>sephali.k@osmosys.co</t>
        </is>
      </c>
      <c r="D3810" t="inlineStr">
        <is>
          <t>incident-reporter</t>
        </is>
      </c>
      <c r="E3810">
        <f>HYPERLINK("http://gitlab.osmosys.co/incident-reporter/incident-reporter-api", "OQSHA-API")</f>
        <v/>
      </c>
      <c r="F3810">
        <f>HYPERLINK("http://gitlab.osmosys.co/incident-reporter/incident-reporter-api/-/merge_requests/4372", "fix: add a fix for PTW user involved data duplication issue")</f>
        <v/>
      </c>
      <c r="G3810" t="inlineStr">
        <is>
          <t>fix/ptw-multiple-users-involve</t>
        </is>
      </c>
      <c r="H3810" t="inlineStr">
        <is>
          <t>sprint-18</t>
        </is>
      </c>
      <c r="I3810" t="inlineStr">
        <is>
          <t>merged</t>
        </is>
      </c>
      <c r="J3810" t="inlineStr"/>
      <c r="K3810" t="inlineStr"/>
      <c r="L3810" t="inlineStr"/>
      <c r="M3810" t="inlineStr"/>
      <c r="N3810" t="inlineStr"/>
      <c r="O3810" t="inlineStr"/>
      <c r="P3810" t="inlineStr"/>
      <c r="Q3810" t="inlineStr"/>
    </row>
    <row r="3811">
      <c r="A3811" t="inlineStr">
        <is>
          <t>sephali.k</t>
        </is>
      </c>
      <c r="B3811" t="inlineStr">
        <is>
          <t>Sephali Kumari</t>
        </is>
      </c>
      <c r="C3811" t="inlineStr">
        <is>
          <t>sephali.k@osmosys.co</t>
        </is>
      </c>
      <c r="D3811" t="inlineStr">
        <is>
          <t>incident-reporter</t>
        </is>
      </c>
      <c r="E3811">
        <f>HYPERLINK("http://gitlab.osmosys.co/incident-reporter/incident-reporter-api", "OQSHA-API")</f>
        <v/>
      </c>
      <c r="F3811">
        <f>HYPERLINK("http://gitlab.osmosys.co/incident-reporter/incident-reporter-api/-/merge_requests/4370", "feat: add draft status for task")</f>
        <v/>
      </c>
      <c r="G3811" t="inlineStr">
        <is>
          <t>feat/task-draft-status</t>
        </is>
      </c>
      <c r="H3811" t="inlineStr">
        <is>
          <t>sprint-18</t>
        </is>
      </c>
      <c r="I3811" t="inlineStr">
        <is>
          <t>closed</t>
        </is>
      </c>
      <c r="J3811" t="inlineStr"/>
      <c r="K3811" t="inlineStr"/>
      <c r="L3811" t="inlineStr"/>
      <c r="M3811" t="inlineStr"/>
      <c r="N3811" t="inlineStr"/>
      <c r="O3811" t="inlineStr"/>
      <c r="P3811" t="inlineStr"/>
      <c r="Q3811" t="inlineStr"/>
    </row>
    <row r="3812">
      <c r="A3812" t="inlineStr">
        <is>
          <t>sephali.k</t>
        </is>
      </c>
      <c r="B3812" t="inlineStr">
        <is>
          <t>Sephali Kumari</t>
        </is>
      </c>
      <c r="C3812" t="inlineStr">
        <is>
          <t>sephali.k@osmosys.co</t>
        </is>
      </c>
      <c r="D3812" t="inlineStr">
        <is>
          <t>incident-reporter</t>
        </is>
      </c>
      <c r="E3812">
        <f>HYPERLINK("http://gitlab.osmosys.co/incident-reporter/incident-reporter-api", "OQSHA-API")</f>
        <v/>
      </c>
      <c r="F3812">
        <f>HYPERLINK("http://gitlab.osmosys.co/incident-reporter/incident-reporter-api/-/merge_requests/4357", "feat: add user details department in user details get api")</f>
        <v/>
      </c>
      <c r="G3812" t="inlineStr">
        <is>
          <t>feat/user-details-department</t>
        </is>
      </c>
      <c r="H3812" t="inlineStr">
        <is>
          <t>sprint-18</t>
        </is>
      </c>
      <c r="I3812" t="inlineStr">
        <is>
          <t>merged</t>
        </is>
      </c>
      <c r="J3812" t="inlineStr"/>
      <c r="K3812" t="inlineStr"/>
      <c r="L3812" t="inlineStr"/>
      <c r="M3812" t="inlineStr"/>
      <c r="N3812" t="inlineStr"/>
      <c r="O3812" t="inlineStr"/>
      <c r="P3812" t="inlineStr"/>
      <c r="Q3812" t="inlineStr"/>
    </row>
    <row r="3813">
      <c r="A3813" t="inlineStr">
        <is>
          <t>sephali.k</t>
        </is>
      </c>
      <c r="B3813" t="inlineStr">
        <is>
          <t>Sephali Kumari</t>
        </is>
      </c>
      <c r="C3813" t="inlineStr">
        <is>
          <t>sephali.k@osmosys.co</t>
        </is>
      </c>
      <c r="D3813" t="inlineStr">
        <is>
          <t>incident-reporter</t>
        </is>
      </c>
      <c r="E3813">
        <f>HYPERLINK("http://gitlab.osmosys.co/incident-reporter/incident-reporter-api", "OQSHA-API")</f>
        <v/>
      </c>
      <c r="F3813">
        <f>HYPERLINK("http://gitlab.osmosys.co/incident-reporter/incident-reporter-api/-/merge_requests/4355", "fix: add fix for ptw active status message")</f>
        <v/>
      </c>
      <c r="G3813" t="inlineStr">
        <is>
          <t>fix/ptw-active-api-status-message</t>
        </is>
      </c>
      <c r="H3813" t="inlineStr">
        <is>
          <t>sprint-18</t>
        </is>
      </c>
      <c r="I3813" t="inlineStr">
        <is>
          <t>merged</t>
        </is>
      </c>
      <c r="J3813" t="inlineStr"/>
      <c r="K3813" t="inlineStr"/>
      <c r="L3813" t="inlineStr"/>
      <c r="M3813" t="inlineStr"/>
      <c r="N3813" t="inlineStr"/>
      <c r="O3813" t="inlineStr"/>
      <c r="P3813" t="inlineStr"/>
      <c r="Q3813" t="inlineStr"/>
    </row>
    <row r="3814">
      <c r="A3814" t="inlineStr">
        <is>
          <t>sephali.k</t>
        </is>
      </c>
      <c r="B3814" t="inlineStr">
        <is>
          <t>Sephali Kumari</t>
        </is>
      </c>
      <c r="C3814" t="inlineStr">
        <is>
          <t>sephali.k@osmosys.co</t>
        </is>
      </c>
      <c r="D3814" t="inlineStr">
        <is>
          <t>incident-reporter</t>
        </is>
      </c>
      <c r="E3814">
        <f>HYPERLINK("http://gitlab.osmosys.co/incident-reporter/incident-reporter-api", "OQSHA-API")</f>
        <v/>
      </c>
      <c r="F3814">
        <f>HYPERLINK("http://gitlab.osmosys.co/incident-reporter/incident-reporter-api/-/merge_requests/4352", "feat: update deployment checklists")</f>
        <v/>
      </c>
      <c r="G3814" t="inlineStr">
        <is>
          <t>feat/pr-checklist-update</t>
        </is>
      </c>
      <c r="H3814" t="inlineStr">
        <is>
          <t>main</t>
        </is>
      </c>
      <c r="I3814" t="inlineStr">
        <is>
          <t>merged</t>
        </is>
      </c>
      <c r="J3814" t="inlineStr"/>
      <c r="K3814" t="inlineStr"/>
      <c r="L3814" t="inlineStr"/>
      <c r="M3814" t="inlineStr"/>
      <c r="N3814" t="inlineStr"/>
      <c r="O3814" t="inlineStr"/>
      <c r="P3814" t="inlineStr"/>
      <c r="Q3814" t="inlineStr"/>
    </row>
    <row r="3815">
      <c r="A3815" t="inlineStr">
        <is>
          <t>sephali.k</t>
        </is>
      </c>
      <c r="B3815" t="inlineStr">
        <is>
          <t>Sephali Kumari</t>
        </is>
      </c>
      <c r="C3815" t="inlineStr">
        <is>
          <t>sephali.k@osmosys.co</t>
        </is>
      </c>
      <c r="D3815" t="inlineStr">
        <is>
          <t>incident-reporter</t>
        </is>
      </c>
      <c r="E3815">
        <f>HYPERLINK("http://gitlab.osmosys.co/incident-reporter/incident-reporter-api", "OQSHA-API")</f>
        <v/>
      </c>
      <c r="F3815">
        <f>HYPERLINK("http://gitlab.osmosys.co/incident-reporter/incident-reporter-api/-/merge_requests/4351", "fix: add a fix for ptw active count api")</f>
        <v/>
      </c>
      <c r="G3815" t="inlineStr">
        <is>
          <t>fix/ptw-active-count</t>
        </is>
      </c>
      <c r="H3815" t="inlineStr">
        <is>
          <t>sprint-18</t>
        </is>
      </c>
      <c r="I3815" t="inlineStr">
        <is>
          <t>merged</t>
        </is>
      </c>
      <c r="J3815" t="inlineStr"/>
      <c r="K3815" t="inlineStr"/>
      <c r="L3815" t="inlineStr"/>
      <c r="M3815" t="inlineStr"/>
      <c r="N3815" t="inlineStr"/>
      <c r="O3815" t="inlineStr"/>
      <c r="P3815" t="inlineStr"/>
      <c r="Q3815" t="inlineStr"/>
    </row>
    <row r="3816">
      <c r="A3816" t="inlineStr">
        <is>
          <t>sephali.k</t>
        </is>
      </c>
      <c r="B3816" t="inlineStr">
        <is>
          <t>Sephali Kumari</t>
        </is>
      </c>
      <c r="C3816" t="inlineStr">
        <is>
          <t>sephali.k@osmosys.co</t>
        </is>
      </c>
      <c r="D3816" t="inlineStr">
        <is>
          <t>incident-reporter</t>
        </is>
      </c>
      <c r="E3816">
        <f>HYPERLINK("http://gitlab.osmosys.co/incident-reporter/incident-reporter-api", "OQSHA-API")</f>
        <v/>
      </c>
      <c r="F3816">
        <f>HYPERLINK("http://gitlab.osmosys.co/incident-reporter/incident-reporter-api/-/merge_requests/4339", "feat: modify PR checklists")</f>
        <v/>
      </c>
      <c r="G3816" t="inlineStr">
        <is>
          <t>feat/update-pr-checklists</t>
        </is>
      </c>
      <c r="H3816" t="inlineStr">
        <is>
          <t>sprint-18</t>
        </is>
      </c>
      <c r="I3816" t="inlineStr">
        <is>
          <t>merged</t>
        </is>
      </c>
      <c r="J3816" t="inlineStr"/>
      <c r="K3816" t="inlineStr"/>
      <c r="L3816" t="inlineStr"/>
      <c r="M3816" t="inlineStr"/>
      <c r="N3816" t="inlineStr"/>
      <c r="O3816" t="inlineStr"/>
      <c r="P3816" t="inlineStr"/>
      <c r="Q3816" t="inlineStr"/>
    </row>
    <row r="3817">
      <c r="A3817" t="inlineStr">
        <is>
          <t>sephali.k</t>
        </is>
      </c>
      <c r="B3817" t="inlineStr">
        <is>
          <t>Sephali Kumari</t>
        </is>
      </c>
      <c r="C3817" t="inlineStr">
        <is>
          <t>sephali.k@osmosys.co</t>
        </is>
      </c>
      <c r="D3817" t="inlineStr">
        <is>
          <t>incident-reporter</t>
        </is>
      </c>
      <c r="E3817">
        <f>HYPERLINK("http://gitlab.osmosys.co/incident-reporter/incident-reporter-api", "OQSHA-API")</f>
        <v/>
      </c>
      <c r="F3817">
        <f>HYPERLINK("http://gitlab.osmosys.co/incident-reporter/incident-reporter-api/-/merge_requests/4338", "fix: add a fix for inspection type delete api")</f>
        <v/>
      </c>
      <c r="G3817" t="inlineStr">
        <is>
          <t>fix/inspection-type-delete</t>
        </is>
      </c>
      <c r="H3817" t="inlineStr">
        <is>
          <t>sprint-18</t>
        </is>
      </c>
      <c r="I3817" t="inlineStr">
        <is>
          <t>merged</t>
        </is>
      </c>
      <c r="J3817" t="inlineStr"/>
      <c r="K3817" t="inlineStr"/>
      <c r="L3817" t="inlineStr"/>
      <c r="M3817" t="inlineStr"/>
      <c r="N3817" t="inlineStr"/>
      <c r="O3817" t="inlineStr"/>
      <c r="P3817" t="inlineStr"/>
      <c r="Q3817" t="inlineStr"/>
    </row>
    <row r="3818">
      <c r="A3818" t="inlineStr">
        <is>
          <t>sephali.k</t>
        </is>
      </c>
      <c r="B3818" t="inlineStr">
        <is>
          <t>Sephali Kumari</t>
        </is>
      </c>
      <c r="C3818" t="inlineStr">
        <is>
          <t>sephali.k@osmosys.co</t>
        </is>
      </c>
      <c r="D3818" t="inlineStr">
        <is>
          <t>incident-reporter</t>
        </is>
      </c>
      <c r="E3818">
        <f>HYPERLINK("http://gitlab.osmosys.co/incident-reporter/incident-reporter-api", "OQSHA-API")</f>
        <v/>
      </c>
      <c r="F3818">
        <f>HYPERLINK("http://gitlab.osmosys.co/incident-reporter/incident-reporter-api/-/merge_requests/4328", "fix: add a fix for pssr auidt log changes")</f>
        <v/>
      </c>
      <c r="G3818" t="inlineStr">
        <is>
          <t>fix/auidt-log-pssr</t>
        </is>
      </c>
      <c r="H3818" t="inlineStr">
        <is>
          <t>sprint-18</t>
        </is>
      </c>
      <c r="I3818" t="inlineStr">
        <is>
          <t>merged</t>
        </is>
      </c>
      <c r="J3818" t="inlineStr"/>
      <c r="K3818" t="inlineStr"/>
      <c r="L3818" t="inlineStr"/>
      <c r="M3818" t="inlineStr"/>
      <c r="N3818" t="inlineStr"/>
      <c r="O3818" t="inlineStr"/>
      <c r="P3818" t="inlineStr"/>
      <c r="Q3818" t="inlineStr"/>
    </row>
    <row r="3819">
      <c r="A3819" t="inlineStr">
        <is>
          <t>sephali.k</t>
        </is>
      </c>
      <c r="B3819" t="inlineStr">
        <is>
          <t>Sephali Kumari</t>
        </is>
      </c>
      <c r="C3819" t="inlineStr">
        <is>
          <t>sephali.k@osmosys.co</t>
        </is>
      </c>
      <c r="D3819" t="inlineStr">
        <is>
          <t>incident-reporter</t>
        </is>
      </c>
      <c r="E3819">
        <f>HYPERLINK("http://gitlab.osmosys.co/incident-reporter/incident-reporter-api", "OQSHA-API")</f>
        <v/>
      </c>
      <c r="F3819">
        <f>HYPERLINK("http://gitlab.osmosys.co/incident-reporter/incident-reporter-api/-/merge_requests/4298", "fix: add a fix for moc comments history")</f>
        <v/>
      </c>
      <c r="G3819" t="inlineStr">
        <is>
          <t>fix/moc-comments-history</t>
        </is>
      </c>
      <c r="H3819" t="inlineStr">
        <is>
          <t>sprint-17</t>
        </is>
      </c>
      <c r="I3819" t="inlineStr">
        <is>
          <t>merged</t>
        </is>
      </c>
      <c r="J3819" t="inlineStr"/>
      <c r="K3819" t="inlineStr"/>
      <c r="L3819" t="inlineStr"/>
      <c r="M3819" t="inlineStr"/>
      <c r="N3819" t="inlineStr"/>
      <c r="O3819" t="inlineStr"/>
      <c r="P3819" t="inlineStr"/>
      <c r="Q3819" t="inlineStr"/>
    </row>
    <row r="3820">
      <c r="A3820" t="inlineStr">
        <is>
          <t>sephali.k</t>
        </is>
      </c>
      <c r="B3820" t="inlineStr">
        <is>
          <t>Sephali Kumari</t>
        </is>
      </c>
      <c r="C3820" t="inlineStr">
        <is>
          <t>sephali.k@osmosys.co</t>
        </is>
      </c>
      <c r="D3820" t="inlineStr">
        <is>
          <t>incident-reporter</t>
        </is>
      </c>
      <c r="E3820">
        <f>HYPERLINK("http://gitlab.osmosys.co/incident-reporter/incident-reporter-api", "OQSHA-API")</f>
        <v/>
      </c>
      <c r="F3820">
        <f>HYPERLINK("http://gitlab.osmosys.co/incident-reporter/incident-reporter-api/-/merge_requests/4288", "fix: add a fix for pssr update api")</f>
        <v/>
      </c>
      <c r="G3820" t="inlineStr">
        <is>
          <t>fix/pssr-update-api</t>
        </is>
      </c>
      <c r="H3820" t="inlineStr">
        <is>
          <t>sprint-17</t>
        </is>
      </c>
      <c r="I3820" t="inlineStr">
        <is>
          <t>merged</t>
        </is>
      </c>
      <c r="J3820" t="inlineStr"/>
      <c r="K3820" t="inlineStr"/>
      <c r="L3820" t="inlineStr"/>
      <c r="M3820" t="inlineStr"/>
      <c r="N3820" t="inlineStr"/>
      <c r="O3820" t="inlineStr"/>
      <c r="P3820" t="inlineStr"/>
      <c r="Q3820" t="inlineStr"/>
    </row>
    <row r="3821">
      <c r="A3821" t="inlineStr">
        <is>
          <t>sephali.k</t>
        </is>
      </c>
      <c r="B3821" t="inlineStr">
        <is>
          <t>Sephali Kumari</t>
        </is>
      </c>
      <c r="C3821" t="inlineStr">
        <is>
          <t>sephali.k@osmosys.co</t>
        </is>
      </c>
      <c r="D3821" t="inlineStr">
        <is>
          <t>incident-reporter</t>
        </is>
      </c>
      <c r="E3821">
        <f>HYPERLINK("http://gitlab.osmosys.co/incident-reporter/incident-reporter-api", "OQSHA-API")</f>
        <v/>
      </c>
      <c r="F3821">
        <f>HYPERLINK("http://gitlab.osmosys.co/incident-reporter/incident-reporter-api/-/merge_requests/4260", "fix: optimize PTW comment history query")</f>
        <v/>
      </c>
      <c r="G3821" t="inlineStr">
        <is>
          <t>fix/ptw-comment-history</t>
        </is>
      </c>
      <c r="H3821" t="inlineStr">
        <is>
          <t>sprint-18</t>
        </is>
      </c>
      <c r="I3821" t="inlineStr">
        <is>
          <t>merged</t>
        </is>
      </c>
      <c r="J3821" t="inlineStr"/>
      <c r="K3821" t="inlineStr"/>
      <c r="L3821" t="inlineStr"/>
      <c r="M3821" t="inlineStr"/>
      <c r="N3821" t="inlineStr"/>
      <c r="O3821" t="inlineStr"/>
      <c r="P3821" t="inlineStr"/>
      <c r="Q3821" t="inlineStr"/>
    </row>
    <row r="3822">
      <c r="A3822" t="inlineStr">
        <is>
          <t>sephali.k</t>
        </is>
      </c>
      <c r="B3822" t="inlineStr">
        <is>
          <t>Sephali Kumari</t>
        </is>
      </c>
      <c r="C3822" t="inlineStr">
        <is>
          <t>sephali.k@osmosys.co</t>
        </is>
      </c>
      <c r="D3822" t="inlineStr">
        <is>
          <t>incident-reporter</t>
        </is>
      </c>
      <c r="E3822">
        <f>HYPERLINK("http://gitlab.osmosys.co/incident-reporter/incident-reporter-api", "OQSHA-API")</f>
        <v/>
      </c>
      <c r="F3822">
        <f>HYPERLINK("http://gitlab.osmosys.co/incident-reporter/incident-reporter-api/-/merge_requests/4229", "fix: add a fix for moc audit log")</f>
        <v/>
      </c>
      <c r="G3822" t="inlineStr">
        <is>
          <t>fix/moc-audit-log</t>
        </is>
      </c>
      <c r="H3822" t="inlineStr">
        <is>
          <t>sprint-17</t>
        </is>
      </c>
      <c r="I3822" t="inlineStr">
        <is>
          <t>merged</t>
        </is>
      </c>
      <c r="J3822" t="inlineStr"/>
      <c r="K3822" t="inlineStr"/>
      <c r="L3822" t="inlineStr"/>
      <c r="M3822" t="inlineStr"/>
      <c r="N3822" t="inlineStr"/>
      <c r="O3822" t="inlineStr"/>
      <c r="P3822" t="inlineStr"/>
      <c r="Q3822" t="inlineStr"/>
    </row>
    <row r="3823">
      <c r="A3823" t="inlineStr">
        <is>
          <t>sephali.k</t>
        </is>
      </c>
      <c r="B3823" t="inlineStr">
        <is>
          <t>Sephali Kumari</t>
        </is>
      </c>
      <c r="C3823" t="inlineStr">
        <is>
          <t>sephali.k@osmosys.co</t>
        </is>
      </c>
      <c r="D3823" t="inlineStr">
        <is>
          <t>incident-reporter</t>
        </is>
      </c>
      <c r="E3823">
        <f>HYPERLINK("http://gitlab.osmosys.co/incident-reporter/incident-reporter-api", "OQSHA-API")</f>
        <v/>
      </c>
      <c r="F3823">
        <f>HYPERLINK("http://gitlab.osmosys.co/incident-reporter/incident-reporter-api/-/merge_requests/4224", "fix: add a fix for moc short code")</f>
        <v/>
      </c>
      <c r="G3823" t="inlineStr">
        <is>
          <t>fix/moc-category-short-code</t>
        </is>
      </c>
      <c r="H3823" t="inlineStr">
        <is>
          <t>sprint-17</t>
        </is>
      </c>
      <c r="I3823" t="inlineStr">
        <is>
          <t>merged</t>
        </is>
      </c>
      <c r="J3823" t="inlineStr"/>
      <c r="K3823" t="inlineStr"/>
      <c r="L3823" t="inlineStr"/>
      <c r="M3823" t="inlineStr"/>
      <c r="N3823" t="inlineStr"/>
      <c r="O3823" t="inlineStr"/>
      <c r="P3823" t="inlineStr"/>
      <c r="Q3823" t="inlineStr"/>
    </row>
    <row r="3824">
      <c r="A3824" t="inlineStr">
        <is>
          <t>sephali.k</t>
        </is>
      </c>
      <c r="B3824" t="inlineStr">
        <is>
          <t>Sephali Kumari</t>
        </is>
      </c>
      <c r="C3824" t="inlineStr">
        <is>
          <t>sephali.k@osmosys.co</t>
        </is>
      </c>
      <c r="D3824" t="inlineStr">
        <is>
          <t>incident-reporter</t>
        </is>
      </c>
      <c r="E3824">
        <f>HYPERLINK("http://gitlab.osmosys.co/incident-reporter/incident-reporter-api", "OQSHA-API")</f>
        <v/>
      </c>
      <c r="F3824">
        <f>HYPERLINK("http://gitlab.osmosys.co/incident-reporter/incident-reporter-api/-/merge_requests/4210", "fix: add a fix for inspection due date in list api")</f>
        <v/>
      </c>
      <c r="G3824" t="inlineStr">
        <is>
          <t>fix/inspection-list-due-date</t>
        </is>
      </c>
      <c r="H3824" t="inlineStr">
        <is>
          <t>sprint-17</t>
        </is>
      </c>
      <c r="I3824" t="inlineStr">
        <is>
          <t>merged</t>
        </is>
      </c>
      <c r="J3824" t="inlineStr"/>
      <c r="K3824" t="inlineStr"/>
      <c r="L3824" t="inlineStr"/>
      <c r="M3824" t="inlineStr"/>
      <c r="N3824" t="inlineStr"/>
      <c r="O3824" t="inlineStr"/>
      <c r="P3824" t="inlineStr"/>
      <c r="Q3824" t="inlineStr"/>
    </row>
    <row r="3825">
      <c r="A3825" t="inlineStr">
        <is>
          <t>sephali.k</t>
        </is>
      </c>
      <c r="B3825" t="inlineStr">
        <is>
          <t>Sephali Kumari</t>
        </is>
      </c>
      <c r="C3825" t="inlineStr">
        <is>
          <t>sephali.k@osmosys.co</t>
        </is>
      </c>
      <c r="D3825" t="inlineStr">
        <is>
          <t>incident-reporter</t>
        </is>
      </c>
      <c r="E3825">
        <f>HYPERLINK("http://gitlab.osmosys.co/incident-reporter/incident-reporter-api", "OQSHA-API")</f>
        <v/>
      </c>
      <c r="F3825">
        <f>HYPERLINK("http://gitlab.osmosys.co/incident-reporter/incident-reporter-api/-/merge_requests/4209", "fix: add a fix for divisons dropdown site association")</f>
        <v/>
      </c>
      <c r="G3825" t="inlineStr">
        <is>
          <t>fix/divisons-dropdown-api</t>
        </is>
      </c>
      <c r="H3825" t="inlineStr">
        <is>
          <t>sprint-17</t>
        </is>
      </c>
      <c r="I3825" t="inlineStr">
        <is>
          <t>merged</t>
        </is>
      </c>
      <c r="J3825" t="inlineStr"/>
      <c r="K3825" t="inlineStr"/>
      <c r="L3825" t="inlineStr"/>
      <c r="M3825" t="inlineStr"/>
      <c r="N3825" t="inlineStr"/>
      <c r="O3825" t="inlineStr"/>
      <c r="P3825" t="inlineStr"/>
      <c r="Q3825" t="inlineStr"/>
    </row>
    <row r="3826">
      <c r="A3826" t="inlineStr">
        <is>
          <t>sephali.k</t>
        </is>
      </c>
      <c r="B3826" t="inlineStr">
        <is>
          <t>Sephali Kumari</t>
        </is>
      </c>
      <c r="C3826" t="inlineStr">
        <is>
          <t>sephali.k@osmosys.co</t>
        </is>
      </c>
      <c r="D3826" t="inlineStr">
        <is>
          <t>incident-reporter</t>
        </is>
      </c>
      <c r="E3826">
        <f>HYPERLINK("http://gitlab.osmosys.co/incident-reporter/incident-reporter-api", "OQSHA-API")</f>
        <v/>
      </c>
      <c r="F3826">
        <f>HYPERLINK("http://gitlab.osmosys.co/incident-reporter/incident-reporter-api/-/merge_requests/4204", "refactor:  add a fix for unused data for get all users api")</f>
        <v/>
      </c>
      <c r="G3826" t="inlineStr">
        <is>
          <t>fix/user-list-api</t>
        </is>
      </c>
      <c r="H3826" t="inlineStr">
        <is>
          <t>sprint-18</t>
        </is>
      </c>
      <c r="I3826" t="inlineStr">
        <is>
          <t>merged</t>
        </is>
      </c>
      <c r="J3826" t="inlineStr"/>
      <c r="K3826" t="inlineStr"/>
      <c r="L3826" t="inlineStr"/>
      <c r="M3826" t="inlineStr"/>
      <c r="N3826" t="inlineStr"/>
      <c r="O3826" t="inlineStr"/>
      <c r="P3826" t="inlineStr"/>
      <c r="Q3826" t="inlineStr"/>
    </row>
    <row r="3827">
      <c r="A3827" t="inlineStr">
        <is>
          <t>sephali.k</t>
        </is>
      </c>
      <c r="B3827" t="inlineStr">
        <is>
          <t>Sephali Kumari</t>
        </is>
      </c>
      <c r="C3827" t="inlineStr">
        <is>
          <t>sephali.k@osmosys.co</t>
        </is>
      </c>
      <c r="D3827" t="inlineStr">
        <is>
          <t>incident-reporter</t>
        </is>
      </c>
      <c r="E3827">
        <f>HYPERLINK("http://gitlab.osmosys.co/incident-reporter/incident-reporter-api", "OQSHA-API")</f>
        <v/>
      </c>
      <c r="F3827">
        <f>HYPERLINK("http://gitlab.osmosys.co/incident-reporter/incident-reporter-api/-/merge_requests/4197", "fix: add a fix for task audit log")</f>
        <v/>
      </c>
      <c r="G3827" t="inlineStr">
        <is>
          <t>fix/task-audit-log</t>
        </is>
      </c>
      <c r="H3827" t="inlineStr">
        <is>
          <t>sprint-17</t>
        </is>
      </c>
      <c r="I3827" t="inlineStr">
        <is>
          <t>merged</t>
        </is>
      </c>
      <c r="J3827" t="inlineStr"/>
      <c r="K3827" t="inlineStr"/>
      <c r="L3827" t="inlineStr"/>
      <c r="M3827" t="inlineStr"/>
      <c r="N3827" t="inlineStr"/>
      <c r="O3827" t="inlineStr"/>
      <c r="P3827" t="inlineStr"/>
      <c r="Q3827" t="inlineStr"/>
    </row>
    <row r="3828">
      <c r="A3828" t="inlineStr">
        <is>
          <t>sephali.k</t>
        </is>
      </c>
      <c r="B3828" t="inlineStr">
        <is>
          <t>Sephali Kumari</t>
        </is>
      </c>
      <c r="C3828" t="inlineStr">
        <is>
          <t>sephali.k@osmosys.co</t>
        </is>
      </c>
      <c r="D3828" t="inlineStr">
        <is>
          <t>incident-reporter</t>
        </is>
      </c>
      <c r="E3828">
        <f>HYPERLINK("http://gitlab.osmosys.co/incident-reporter/incident-reporter-api", "OQSHA-API")</f>
        <v/>
      </c>
      <c r="F3828">
        <f>HYPERLINK("http://gitlab.osmosys.co/incident-reporter/incident-reporter-api/-/merge_requests/4193", "refactor: add fix to remove unused data fetching in list page APIs")</f>
        <v/>
      </c>
      <c r="G3828" t="inlineStr">
        <is>
          <t>fix/remove-unused-fields-list-pages</t>
        </is>
      </c>
      <c r="H3828" t="inlineStr">
        <is>
          <t>sprint-19</t>
        </is>
      </c>
      <c r="I3828" t="inlineStr">
        <is>
          <t>merged</t>
        </is>
      </c>
      <c r="J3828" t="inlineStr"/>
      <c r="K3828" t="inlineStr"/>
      <c r="L3828" t="inlineStr"/>
      <c r="M3828" t="inlineStr"/>
      <c r="N3828" t="inlineStr"/>
      <c r="O3828" t="inlineStr"/>
      <c r="P3828" t="inlineStr"/>
      <c r="Q3828" t="inlineStr"/>
    </row>
    <row r="3829">
      <c r="A3829" t="inlineStr">
        <is>
          <t>sephali.k</t>
        </is>
      </c>
      <c r="B3829" t="inlineStr">
        <is>
          <t>Sephali Kumari</t>
        </is>
      </c>
      <c r="C3829" t="inlineStr">
        <is>
          <t>sephali.k@osmosys.co</t>
        </is>
      </c>
      <c r="D3829" t="inlineStr">
        <is>
          <t>incident-reporter</t>
        </is>
      </c>
      <c r="E3829">
        <f>HYPERLINK("http://gitlab.osmosys.co/incident-reporter/incident-reporter-api", "OQSHA-API")</f>
        <v/>
      </c>
      <c r="F3829">
        <f>HYPERLINK("http://gitlab.osmosys.co/incident-reporter/incident-reporter-api/-/merge_requests/4179", "feat: add sorting for assignedTo module preferences api")</f>
        <v/>
      </c>
      <c r="G3829" t="inlineStr">
        <is>
          <t>feat/sort-assigned-inform-preferences</t>
        </is>
      </c>
      <c r="H3829" t="inlineStr">
        <is>
          <t>sprint-17</t>
        </is>
      </c>
      <c r="I3829" t="inlineStr">
        <is>
          <t>merged</t>
        </is>
      </c>
      <c r="J3829" t="inlineStr"/>
      <c r="K3829" t="inlineStr"/>
      <c r="L3829" t="inlineStr"/>
      <c r="M3829" t="inlineStr"/>
      <c r="N3829" t="inlineStr"/>
      <c r="O3829" t="inlineStr"/>
      <c r="P3829" t="inlineStr"/>
      <c r="Q3829" t="inlineStr"/>
    </row>
    <row r="3830">
      <c r="A3830" t="inlineStr">
        <is>
          <t>sephali.k</t>
        </is>
      </c>
      <c r="B3830" t="inlineStr">
        <is>
          <t>Sephali Kumari</t>
        </is>
      </c>
      <c r="C3830" t="inlineStr">
        <is>
          <t>sephali.k@osmosys.co</t>
        </is>
      </c>
      <c r="D3830" t="inlineStr">
        <is>
          <t>incident-reporter</t>
        </is>
      </c>
      <c r="E3830">
        <f>HYPERLINK("http://gitlab.osmosys.co/incident-reporter/incident-reporter-api", "OQSHA-API")</f>
        <v/>
      </c>
      <c r="F3830">
        <f>HYPERLINK("http://gitlab.osmosys.co/incident-reporter/incident-reporter-api/-/merge_requests/4174", "feat: modify ticket category dropdown api")</f>
        <v/>
      </c>
      <c r="G3830" t="inlineStr">
        <is>
          <t>feat/ticket-category-dropdown-api</t>
        </is>
      </c>
      <c r="H3830" t="inlineStr">
        <is>
          <t>sprint-17</t>
        </is>
      </c>
      <c r="I3830" t="inlineStr">
        <is>
          <t>merged</t>
        </is>
      </c>
      <c r="J3830" t="inlineStr"/>
      <c r="K3830" t="inlineStr"/>
      <c r="L3830" t="inlineStr"/>
      <c r="M3830" t="inlineStr"/>
      <c r="N3830" t="inlineStr"/>
      <c r="O3830" t="inlineStr"/>
      <c r="P3830" t="inlineStr"/>
      <c r="Q3830" t="inlineStr"/>
    </row>
    <row r="3831">
      <c r="A3831" t="inlineStr">
        <is>
          <t>sephali.k</t>
        </is>
      </c>
      <c r="B3831" t="inlineStr">
        <is>
          <t>Sephali Kumari</t>
        </is>
      </c>
      <c r="C3831" t="inlineStr">
        <is>
          <t>sephali.k@osmosys.co</t>
        </is>
      </c>
      <c r="D3831" t="inlineStr">
        <is>
          <t>incident-reporter</t>
        </is>
      </c>
      <c r="E3831">
        <f>HYPERLINK("http://gitlab.osmosys.co/incident-reporter/incident-reporter-api", "OQSHA-API")</f>
        <v/>
      </c>
      <c r="F3831">
        <f>HYPERLINK("http://gitlab.osmosys.co/incident-reporter/incident-reporter-api/-/merge_requests/4170", "feat: create get API to fetch assignedTo preferences by module")</f>
        <v/>
      </c>
      <c r="G3831" t="inlineStr">
        <is>
          <t>feat/assigned-to-preferences-api</t>
        </is>
      </c>
      <c r="H3831" t="inlineStr">
        <is>
          <t>sprint-17</t>
        </is>
      </c>
      <c r="I3831" t="inlineStr">
        <is>
          <t>merged</t>
        </is>
      </c>
      <c r="J3831" t="inlineStr"/>
      <c r="K3831" t="inlineStr"/>
      <c r="L3831" t="inlineStr"/>
      <c r="M3831" t="inlineStr"/>
      <c r="N3831" t="inlineStr"/>
      <c r="O3831" t="inlineStr"/>
      <c r="P3831" t="inlineStr"/>
      <c r="Q3831" t="inlineStr"/>
    </row>
    <row r="3832">
      <c r="A3832" t="inlineStr">
        <is>
          <t>sephali.k</t>
        </is>
      </c>
      <c r="B3832" t="inlineStr">
        <is>
          <t>Sephali Kumari</t>
        </is>
      </c>
      <c r="C3832" t="inlineStr">
        <is>
          <t>sephali.k@osmosys.co</t>
        </is>
      </c>
      <c r="D3832" t="inlineStr">
        <is>
          <t>incident-reporter</t>
        </is>
      </c>
      <c r="E3832">
        <f>HYPERLINK("http://gitlab.osmosys.co/incident-reporter/incident-reporter-api", "OQSHA-API")</f>
        <v/>
      </c>
      <c r="F3832">
        <f>HYPERLINK("http://gitlab.osmosys.co/incident-reporter/incident-reporter-api/-/merge_requests/4148", "feat: add CompanyId support for PPE Issues api")</f>
        <v/>
      </c>
      <c r="G3832" t="inlineStr">
        <is>
          <t>feat/ppe-departmet-association</t>
        </is>
      </c>
      <c r="H3832" t="inlineStr">
        <is>
          <t>sprint-18</t>
        </is>
      </c>
      <c r="I3832" t="inlineStr">
        <is>
          <t>opened</t>
        </is>
      </c>
      <c r="J3832" t="inlineStr"/>
      <c r="K3832" t="inlineStr"/>
      <c r="L3832" t="inlineStr"/>
      <c r="M3832" t="inlineStr"/>
      <c r="N3832" t="inlineStr"/>
      <c r="O3832" t="inlineStr"/>
      <c r="P3832" t="inlineStr"/>
      <c r="Q3832" t="inlineStr"/>
    </row>
    <row r="3833">
      <c r="A3833" t="inlineStr">
        <is>
          <t>sephali.k</t>
        </is>
      </c>
      <c r="B3833" t="inlineStr">
        <is>
          <t>Sephali Kumari</t>
        </is>
      </c>
      <c r="C3833" t="inlineStr">
        <is>
          <t>sephali.k@osmosys.co</t>
        </is>
      </c>
      <c r="D3833" t="inlineStr">
        <is>
          <t>incident-reporter</t>
        </is>
      </c>
      <c r="E3833">
        <f>HYPERLINK("http://gitlab.osmosys.co/incident-reporter/incident-reporter-api", "OQSHA-API")</f>
        <v/>
      </c>
      <c r="F3833">
        <f>HYPERLINK("http://gitlab.osmosys.co/incident-reporter/incident-reporter-api/-/merge_requests/4135", "fix: update DueDate to  nullable in tasks")</f>
        <v/>
      </c>
      <c r="G3833" t="inlineStr">
        <is>
          <t>fix/task-due-date-nullable</t>
        </is>
      </c>
      <c r="H3833" t="inlineStr">
        <is>
          <t>sprint-17</t>
        </is>
      </c>
      <c r="I3833" t="inlineStr">
        <is>
          <t>merged</t>
        </is>
      </c>
      <c r="J3833" t="inlineStr">
        <is>
          <t>a0732740ec3dd16eedd551ef03027e32281ef7d7</t>
        </is>
      </c>
      <c r="K3833">
        <f>HYPERLINK("http://gitlab.osmosys.co/incident-reporter/incident-reporter-api/-/merge_requests/4135#note_235452", "keep a space after comma, check this everywhere in your PR.")</f>
        <v/>
      </c>
      <c r="L3833" t="inlineStr">
        <is>
          <t>2025-07-11 17:59:44.716 IST</t>
        </is>
      </c>
      <c r="M3833" t="inlineStr">
        <is>
          <t>Sindhusha</t>
        </is>
      </c>
      <c r="N3833" t="inlineStr">
        <is>
          <t>Yes</t>
        </is>
      </c>
      <c r="O3833" t="inlineStr">
        <is>
          <t>Yes</t>
        </is>
      </c>
      <c r="P3833" t="inlineStr">
        <is>
          <t>Sindhusha</t>
        </is>
      </c>
      <c r="Q3833" t="inlineStr">
        <is>
          <t>Bad</t>
        </is>
      </c>
    </row>
    <row r="3834">
      <c r="A3834" t="inlineStr">
        <is>
          <t>sephali.k</t>
        </is>
      </c>
      <c r="B3834" t="inlineStr">
        <is>
          <t>Sephali Kumari</t>
        </is>
      </c>
      <c r="C3834" t="inlineStr">
        <is>
          <t>sephali.k@osmosys.co</t>
        </is>
      </c>
      <c r="D3834" t="inlineStr">
        <is>
          <t>incident-reporter</t>
        </is>
      </c>
      <c r="E3834">
        <f>HYPERLINK("http://gitlab.osmosys.co/incident-reporter/incident-reporter-api", "OQSHA-API")</f>
        <v/>
      </c>
      <c r="F3834">
        <f>HYPERLINK("http://gitlab.osmosys.co/incident-reporter/incident-reporter-api/-/merge_requests/4135", "fix: update DueDate to  nullable in tasks")</f>
        <v/>
      </c>
      <c r="G3834" t="inlineStr">
        <is>
          <t>fix/task-due-date-nullable</t>
        </is>
      </c>
      <c r="H3834" t="inlineStr">
        <is>
          <t>sprint-17</t>
        </is>
      </c>
      <c r="I3834" t="inlineStr">
        <is>
          <t>merged</t>
        </is>
      </c>
      <c r="J3834" t="inlineStr">
        <is>
          <t>a0732740ec3dd16eedd551ef03027e32281ef7d7</t>
        </is>
      </c>
      <c r="K3834">
        <f>HYPERLINK("http://gitlab.osmosys.co/incident-reporter/incident-reporter-api/-/merge_requests/4135#note_235479", "Updated")</f>
        <v/>
      </c>
      <c r="L3834" t="inlineStr">
        <is>
          <t>2025-07-11 18:14:48.237 IST</t>
        </is>
      </c>
      <c r="M3834" t="inlineStr">
        <is>
          <t>Sephali Kumari</t>
        </is>
      </c>
      <c r="N3834" t="inlineStr">
        <is>
          <t>No</t>
        </is>
      </c>
      <c r="O3834" t="inlineStr">
        <is>
          <t>Yes</t>
        </is>
      </c>
      <c r="P3834" t="inlineStr">
        <is>
          <t>Sindhusha</t>
        </is>
      </c>
      <c r="Q3834" t="inlineStr">
        <is>
          <t>Bad</t>
        </is>
      </c>
    </row>
    <row r="3835">
      <c r="A3835" t="inlineStr">
        <is>
          <t>sephali.k</t>
        </is>
      </c>
      <c r="B3835" t="inlineStr">
        <is>
          <t>Sephali Kumari</t>
        </is>
      </c>
      <c r="C3835" t="inlineStr">
        <is>
          <t>sephali.k@osmosys.co</t>
        </is>
      </c>
      <c r="D3835" t="inlineStr">
        <is>
          <t>incident-reporter</t>
        </is>
      </c>
      <c r="E3835">
        <f>HYPERLINK("http://gitlab.osmosys.co/incident-reporter/incident-reporter-api", "OQSHA-API")</f>
        <v/>
      </c>
      <c r="F3835">
        <f>HYPERLINK("http://gitlab.osmosys.co/incident-reporter/incident-reporter-api/-/merge_requests/4135", "fix: update DueDate to  nullable in tasks")</f>
        <v/>
      </c>
      <c r="G3835" t="inlineStr">
        <is>
          <t>fix/task-due-date-nullable</t>
        </is>
      </c>
      <c r="H3835" t="inlineStr">
        <is>
          <t>sprint-17</t>
        </is>
      </c>
      <c r="I3835" t="inlineStr">
        <is>
          <t>merged</t>
        </is>
      </c>
      <c r="J3835" t="inlineStr">
        <is>
          <t>53ab6b22049b9c0ff24c1cd447faf6222d40b226</t>
        </is>
      </c>
      <c r="K3835">
        <f>HYPERLINK("http://gitlab.osmosys.co/incident-reporter/incident-reporter-api/-/merge_requests/4135#note_235453", "why is this change needed?")</f>
        <v/>
      </c>
      <c r="L3835" t="inlineStr">
        <is>
          <t>2025-07-11 18:00:56.391 IST</t>
        </is>
      </c>
      <c r="M3835" t="inlineStr">
        <is>
          <t>Sindhusha</t>
        </is>
      </c>
      <c r="N3835" t="inlineStr">
        <is>
          <t>Yes</t>
        </is>
      </c>
      <c r="O3835" t="inlineStr">
        <is>
          <t>Yes</t>
        </is>
      </c>
      <c r="P3835" t="inlineStr">
        <is>
          <t>Sindhusha</t>
        </is>
      </c>
      <c r="Q3835" t="inlineStr">
        <is>
          <t>Neutral</t>
        </is>
      </c>
    </row>
    <row r="3836">
      <c r="A3836" t="inlineStr">
        <is>
          <t>sephali.k</t>
        </is>
      </c>
      <c r="B3836" t="inlineStr">
        <is>
          <t>Sephali Kumari</t>
        </is>
      </c>
      <c r="C3836" t="inlineStr">
        <is>
          <t>sephali.k@osmosys.co</t>
        </is>
      </c>
      <c r="D3836" t="inlineStr">
        <is>
          <t>incident-reporter</t>
        </is>
      </c>
      <c r="E3836">
        <f>HYPERLINK("http://gitlab.osmosys.co/incident-reporter/incident-reporter-api", "OQSHA-API")</f>
        <v/>
      </c>
      <c r="F3836">
        <f>HYPERLINK("http://gitlab.osmosys.co/incident-reporter/incident-reporter-api/-/merge_requests/4135", "fix: update DueDate to  nullable in tasks")</f>
        <v/>
      </c>
      <c r="G3836" t="inlineStr">
        <is>
          <t>fix/task-due-date-nullable</t>
        </is>
      </c>
      <c r="H3836" t="inlineStr">
        <is>
          <t>sprint-17</t>
        </is>
      </c>
      <c r="I3836" t="inlineStr">
        <is>
          <t>merged</t>
        </is>
      </c>
      <c r="J3836" t="inlineStr">
        <is>
          <t>53ab6b22049b9c0ff24c1cd447faf6222d40b226</t>
        </is>
      </c>
      <c r="K3836">
        <f>HYPERLINK("http://gitlab.osmosys.co/incident-reporter/incident-reporter-api/-/merge_requests/4135#note_235484", "added it because
taskReminderDate = taskReminderDate.AddDays(...) is used to apply offset calculations to the  due date.
so We have now user `DateTime taskReminderDate = task.DueDate.Value`  local variable instead of repeating `task.DueDate.Value`")</f>
        <v/>
      </c>
      <c r="L3836" t="inlineStr">
        <is>
          <t>2025-07-11 18:17:02.058 IST</t>
        </is>
      </c>
      <c r="M3836" t="inlineStr">
        <is>
          <t>Sephali Kumari</t>
        </is>
      </c>
      <c r="N3836" t="inlineStr">
        <is>
          <t>No</t>
        </is>
      </c>
      <c r="O3836" t="inlineStr">
        <is>
          <t>Yes</t>
        </is>
      </c>
      <c r="P3836" t="inlineStr">
        <is>
          <t>Sindhusha</t>
        </is>
      </c>
      <c r="Q3836" t="inlineStr">
        <is>
          <t>Neutral</t>
        </is>
      </c>
    </row>
    <row r="3837">
      <c r="A3837" t="inlineStr">
        <is>
          <t>sephali.k</t>
        </is>
      </c>
      <c r="B3837" t="inlineStr">
        <is>
          <t>Sephali Kumari</t>
        </is>
      </c>
      <c r="C3837" t="inlineStr">
        <is>
          <t>sephali.k@osmosys.co</t>
        </is>
      </c>
      <c r="D3837" t="inlineStr">
        <is>
          <t>incident-reporter</t>
        </is>
      </c>
      <c r="E3837">
        <f>HYPERLINK("http://gitlab.osmosys.co/incident-reporter/incident-reporter-api", "OQSHA-API")</f>
        <v/>
      </c>
      <c r="F3837">
        <f>HYPERLINK("http://gitlab.osmosys.co/incident-reporter/incident-reporter-api/-/merge_requests/4126", "fix: add fix in app acm module query")</f>
        <v/>
      </c>
      <c r="G3837" t="inlineStr">
        <is>
          <t>fix/app-acm-modules-query</t>
        </is>
      </c>
      <c r="H3837" t="inlineStr">
        <is>
          <t>sprint-17</t>
        </is>
      </c>
      <c r="I3837" t="inlineStr">
        <is>
          <t>merged</t>
        </is>
      </c>
      <c r="J3837" t="inlineStr"/>
      <c r="K3837" t="inlineStr"/>
      <c r="L3837" t="inlineStr"/>
      <c r="M3837" t="inlineStr"/>
      <c r="N3837" t="inlineStr"/>
      <c r="O3837" t="inlineStr"/>
      <c r="P3837" t="inlineStr"/>
      <c r="Q3837" t="inlineStr"/>
    </row>
    <row r="3838">
      <c r="A3838" t="inlineStr">
        <is>
          <t>sephali.k</t>
        </is>
      </c>
      <c r="B3838" t="inlineStr">
        <is>
          <t>Sephali Kumari</t>
        </is>
      </c>
      <c r="C3838" t="inlineStr">
        <is>
          <t>sephali.k@osmosys.co</t>
        </is>
      </c>
      <c r="D3838" t="inlineStr">
        <is>
          <t>incident-reporter</t>
        </is>
      </c>
      <c r="E3838">
        <f>HYPERLINK("http://gitlab.osmosys.co/incident-reporter/incident-reporter-api", "OQSHA-API")</f>
        <v/>
      </c>
      <c r="F3838">
        <f>HYPERLINK("http://gitlab.osmosys.co/incident-reporter/incident-reporter-api/-/merge_requests/4112", "feat: update contractstart and contractend date fields nullable")</f>
        <v/>
      </c>
      <c r="G3838" t="inlineStr">
        <is>
          <t>feat/users-contract-duration-optional</t>
        </is>
      </c>
      <c r="H3838" t="inlineStr">
        <is>
          <t>sprint-17</t>
        </is>
      </c>
      <c r="I3838" t="inlineStr">
        <is>
          <t>opened</t>
        </is>
      </c>
      <c r="J3838" t="inlineStr">
        <is>
          <t>3e4726761e07abc50225b884b9414ffb9e3df0bf</t>
        </is>
      </c>
      <c r="K3838">
        <f>HYPERLINK("http://gitlab.osmosys.co/incident-reporter/incident-reporter-api/-/merge_requests/4112#note_234211", "What is this for?")</f>
        <v/>
      </c>
      <c r="L3838" t="inlineStr">
        <is>
          <t>2025-07-10 17:03:47.009 IST</t>
        </is>
      </c>
      <c r="M3838" t="inlineStr">
        <is>
          <t>Sindhusha</t>
        </is>
      </c>
      <c r="N3838" t="inlineStr">
        <is>
          <t>Yes</t>
        </is>
      </c>
      <c r="O3838" t="inlineStr">
        <is>
          <t>Yes</t>
        </is>
      </c>
      <c r="P3838" t="inlineStr">
        <is>
          <t>Sindhusha</t>
        </is>
      </c>
      <c r="Q3838" t="inlineStr">
        <is>
          <t>Neutral</t>
        </is>
      </c>
    </row>
    <row r="3839">
      <c r="A3839" t="inlineStr">
        <is>
          <t>sephali.k</t>
        </is>
      </c>
      <c r="B3839" t="inlineStr">
        <is>
          <t>Sephali Kumari</t>
        </is>
      </c>
      <c r="C3839" t="inlineStr">
        <is>
          <t>sephali.k@osmosys.co</t>
        </is>
      </c>
      <c r="D3839" t="inlineStr">
        <is>
          <t>incident-reporter</t>
        </is>
      </c>
      <c r="E3839">
        <f>HYPERLINK("http://gitlab.osmosys.co/incident-reporter/incident-reporter-api", "OQSHA-API")</f>
        <v/>
      </c>
      <c r="F3839">
        <f>HYPERLINK("http://gitlab.osmosys.co/incident-reporter/incident-reporter-api/-/merge_requests/4112", "feat: update contractstart and contractend date fields nullable")</f>
        <v/>
      </c>
      <c r="G3839" t="inlineStr">
        <is>
          <t>feat/users-contract-duration-optional</t>
        </is>
      </c>
      <c r="H3839" t="inlineStr">
        <is>
          <t>sprint-17</t>
        </is>
      </c>
      <c r="I3839" t="inlineStr">
        <is>
          <t>opened</t>
        </is>
      </c>
      <c r="J3839" t="inlineStr">
        <is>
          <t>3e4726761e07abc50225b884b9414ffb9e3df0bf</t>
        </is>
      </c>
      <c r="K3839">
        <f>HYPERLINK("http://gitlab.osmosys.co/incident-reporter/incident-reporter-api/-/merge_requests/4112#note_234236", "The column name is `additional_settings` in `organisation_settings` table, so updated repo code accordingly")</f>
        <v/>
      </c>
      <c r="L3839" t="inlineStr">
        <is>
          <t>2025-07-10 17:12:46.062 IST</t>
        </is>
      </c>
      <c r="M3839" t="inlineStr">
        <is>
          <t>Sephali Kumari</t>
        </is>
      </c>
      <c r="N3839" t="inlineStr">
        <is>
          <t>No</t>
        </is>
      </c>
      <c r="O3839" t="inlineStr">
        <is>
          <t>Yes</t>
        </is>
      </c>
      <c r="P3839" t="inlineStr">
        <is>
          <t>Sindhusha</t>
        </is>
      </c>
      <c r="Q3839" t="inlineStr">
        <is>
          <t>Neutral</t>
        </is>
      </c>
    </row>
    <row r="3840">
      <c r="A3840" t="inlineStr">
        <is>
          <t>sephali.k</t>
        </is>
      </c>
      <c r="B3840" t="inlineStr">
        <is>
          <t>Sephali Kumari</t>
        </is>
      </c>
      <c r="C3840" t="inlineStr">
        <is>
          <t>sephali.k@osmosys.co</t>
        </is>
      </c>
      <c r="D3840" t="inlineStr">
        <is>
          <t>incident-reporter</t>
        </is>
      </c>
      <c r="E3840">
        <f>HYPERLINK("http://gitlab.osmosys.co/incident-reporter/incident-reporter-api", "OQSHA-API")</f>
        <v/>
      </c>
      <c r="F3840">
        <f>HYPERLINK("http://gitlab.osmosys.co/incident-reporter/incident-reporter-api/-/merge_requests/4099", "fix: rename config attribute for user visibility")</f>
        <v/>
      </c>
      <c r="G3840" t="inlineStr">
        <is>
          <t>fix/update-config-attribute</t>
        </is>
      </c>
      <c r="H3840" t="inlineStr">
        <is>
          <t>sprint-17</t>
        </is>
      </c>
      <c r="I3840" t="inlineStr">
        <is>
          <t>merged</t>
        </is>
      </c>
      <c r="J3840" t="inlineStr"/>
      <c r="K3840" t="inlineStr"/>
      <c r="L3840" t="inlineStr"/>
      <c r="M3840" t="inlineStr"/>
      <c r="N3840" t="inlineStr"/>
      <c r="O3840" t="inlineStr"/>
      <c r="P3840" t="inlineStr"/>
      <c r="Q3840" t="inlineStr"/>
    </row>
    <row r="3841">
      <c r="A3841" t="inlineStr">
        <is>
          <t>sephali.k</t>
        </is>
      </c>
      <c r="B3841" t="inlineStr">
        <is>
          <t>Sephali Kumari</t>
        </is>
      </c>
      <c r="C3841" t="inlineStr">
        <is>
          <t>sephali.k@osmosys.co</t>
        </is>
      </c>
      <c r="D3841" t="inlineStr">
        <is>
          <t>incident-reporter</t>
        </is>
      </c>
      <c r="E3841">
        <f>HYPERLINK("http://gitlab.osmosys.co/incident-reporter/incident-reporter-api", "OQSHA-API")</f>
        <v/>
      </c>
      <c r="F3841">
        <f>HYPERLINK("http://gitlab.osmosys.co/incident-reporter/incident-reporter-api/-/merge_requests/4092", "feat: skip notifications for manual PTWs using IsOnline flag")</f>
        <v/>
      </c>
      <c r="G3841" t="inlineStr">
        <is>
          <t>feat/manual-ptw-notifications-skip</t>
        </is>
      </c>
      <c r="H3841" t="inlineStr">
        <is>
          <t>sprint-18</t>
        </is>
      </c>
      <c r="I3841" t="inlineStr">
        <is>
          <t>merged</t>
        </is>
      </c>
      <c r="J3841" t="inlineStr"/>
      <c r="K3841" t="inlineStr"/>
      <c r="L3841" t="inlineStr"/>
      <c r="M3841" t="inlineStr"/>
      <c r="N3841" t="inlineStr"/>
      <c r="O3841" t="inlineStr"/>
      <c r="P3841" t="inlineStr"/>
      <c r="Q3841" t="inlineStr"/>
    </row>
    <row r="3842">
      <c r="A3842" t="inlineStr">
        <is>
          <t>sephali.k</t>
        </is>
      </c>
      <c r="B3842" t="inlineStr">
        <is>
          <t>Sephali Kumari</t>
        </is>
      </c>
      <c r="C3842" t="inlineStr">
        <is>
          <t>sephali.k@osmosys.co</t>
        </is>
      </c>
      <c r="D3842" t="inlineStr">
        <is>
          <t>incident-reporter</t>
        </is>
      </c>
      <c r="E3842">
        <f>HYPERLINK("http://gitlab.osmosys.co/incident-reporter/incident-reporter-api", "OQSHA-API")</f>
        <v/>
      </c>
      <c r="F3842">
        <f>HYPERLINK("http://gitlab.osmosys.co/incident-reporter/incident-reporter-api/-/merge_requests/4078", "feat: add API to check active PTW by userId")</f>
        <v/>
      </c>
      <c r="G3842" t="inlineStr">
        <is>
          <t>feat/ptw-active-check-api</t>
        </is>
      </c>
      <c r="H3842" t="inlineStr">
        <is>
          <t>sprint-18</t>
        </is>
      </c>
      <c r="I3842" t="inlineStr">
        <is>
          <t>merged</t>
        </is>
      </c>
      <c r="J3842" t="inlineStr"/>
      <c r="K3842" t="inlineStr"/>
      <c r="L3842" t="inlineStr"/>
      <c r="M3842" t="inlineStr"/>
      <c r="N3842" t="inlineStr"/>
      <c r="O3842" t="inlineStr"/>
      <c r="P3842" t="inlineStr"/>
      <c r="Q3842" t="inlineStr"/>
    </row>
    <row r="3843">
      <c r="A3843" t="inlineStr">
        <is>
          <t>sephali.k</t>
        </is>
      </c>
      <c r="B3843" t="inlineStr">
        <is>
          <t>Sephali Kumari</t>
        </is>
      </c>
      <c r="C3843" t="inlineStr">
        <is>
          <t>sephali.k@osmosys.co</t>
        </is>
      </c>
      <c r="D3843" t="inlineStr">
        <is>
          <t>incident-reporter</t>
        </is>
      </c>
      <c r="E3843">
        <f>HYPERLINK("http://gitlab.osmosys.co/incident-reporter/incident-reporter-api", "OQSHA-API")</f>
        <v/>
      </c>
      <c r="F3843">
        <f>HYPERLINK("http://gitlab.osmosys.co/incident-reporter/incident-reporter-api/-/merge_requests/4073", "fix: add a fix for ticket history api")</f>
        <v/>
      </c>
      <c r="G3843" t="inlineStr">
        <is>
          <t>fix/ticket-api</t>
        </is>
      </c>
      <c r="H3843" t="inlineStr">
        <is>
          <t>sprint-17</t>
        </is>
      </c>
      <c r="I3843" t="inlineStr">
        <is>
          <t>merged</t>
        </is>
      </c>
      <c r="J3843" t="inlineStr"/>
      <c r="K3843" t="inlineStr"/>
      <c r="L3843" t="inlineStr"/>
      <c r="M3843" t="inlineStr"/>
      <c r="N3843" t="inlineStr"/>
      <c r="O3843" t="inlineStr"/>
      <c r="P3843" t="inlineStr"/>
      <c r="Q3843" t="inlineStr"/>
    </row>
    <row r="3844">
      <c r="A3844" t="inlineStr">
        <is>
          <t>sephali.k</t>
        </is>
      </c>
      <c r="B3844" t="inlineStr">
        <is>
          <t>Sephali Kumari</t>
        </is>
      </c>
      <c r="C3844" t="inlineStr">
        <is>
          <t>sephali.k@osmosys.co</t>
        </is>
      </c>
      <c r="D3844" t="inlineStr">
        <is>
          <t>incident-reporter</t>
        </is>
      </c>
      <c r="E3844">
        <f>HYPERLINK("http://gitlab.osmosys.co/incident-reporter/incident-reporter-api", "OQSHA-API")</f>
        <v/>
      </c>
      <c r="F3844">
        <f>HYPERLINK("http://gitlab.osmosys.co/incident-reporter/incident-reporter-api/-/merge_requests/4065", "feat: add user field visibility config migration")</f>
        <v/>
      </c>
      <c r="G3844" t="inlineStr">
        <is>
          <t>feat/user-field-json</t>
        </is>
      </c>
      <c r="H3844" t="inlineStr">
        <is>
          <t>sprint-17</t>
        </is>
      </c>
      <c r="I3844" t="inlineStr">
        <is>
          <t>merged</t>
        </is>
      </c>
      <c r="J3844" t="inlineStr">
        <is>
          <t>2ca10d2a9f4a9253dcab834dec0f8249cef75125</t>
        </is>
      </c>
      <c r="K3844">
        <f>HYPERLINK("http://gitlab.osmosys.co/incident-reporter/incident-reporter-api/-/merge_requests/4065#note_233279", "why are we adding this migration? What is this used for, we didn't have this mentioned in the task though. If you wanted this to be inserted through migration, I would recommend we do it for only one organisation, you can add a config value to read this org id, your script can read this org id &amp; insert this JSON only for that organisation.")</f>
        <v/>
      </c>
      <c r="L3844" t="inlineStr">
        <is>
          <t>2025-07-08 19:29:32.315 IST</t>
        </is>
      </c>
      <c r="M3844" t="inlineStr">
        <is>
          <t>Sindhusha</t>
        </is>
      </c>
      <c r="N3844" t="inlineStr">
        <is>
          <t>Yes</t>
        </is>
      </c>
      <c r="O3844" t="inlineStr">
        <is>
          <t>Yes</t>
        </is>
      </c>
      <c r="P3844" t="inlineStr">
        <is>
          <t>Sindhusha</t>
        </is>
      </c>
      <c r="Q3844" t="inlineStr">
        <is>
          <t>Bad</t>
        </is>
      </c>
    </row>
    <row r="3845">
      <c r="A3845" t="inlineStr">
        <is>
          <t>sephali.k</t>
        </is>
      </c>
      <c r="B3845" t="inlineStr">
        <is>
          <t>Sephali Kumari</t>
        </is>
      </c>
      <c r="C3845" t="inlineStr">
        <is>
          <t>sephali.k@osmosys.co</t>
        </is>
      </c>
      <c r="D3845" t="inlineStr">
        <is>
          <t>incident-reporter</t>
        </is>
      </c>
      <c r="E3845">
        <f>HYPERLINK("http://gitlab.osmosys.co/incident-reporter/incident-reporter-api", "OQSHA-API")</f>
        <v/>
      </c>
      <c r="F3845">
        <f>HYPERLINK("http://gitlab.osmosys.co/incident-reporter/incident-reporter-api/-/merge_requests/4065", "feat: add user field visibility config migration")</f>
        <v/>
      </c>
      <c r="G3845" t="inlineStr">
        <is>
          <t>feat/user-field-json</t>
        </is>
      </c>
      <c r="H3845" t="inlineStr">
        <is>
          <t>sprint-17</t>
        </is>
      </c>
      <c r="I3845" t="inlineStr">
        <is>
          <t>merged</t>
        </is>
      </c>
      <c r="J3845" t="inlineStr">
        <is>
          <t>2ca10d2a9f4a9253dcab834dec0f8249cef75125</t>
        </is>
      </c>
      <c r="K3845">
        <f>HYPERLINK("http://gitlab.osmosys.co/incident-reporter/incident-reporter-api/-/merge_requests/4065#note_233326", "Removed it for now, as we need org specific changes. SQl queries are working fine")</f>
        <v/>
      </c>
      <c r="L3845" t="inlineStr">
        <is>
          <t>2025-07-08 20:42:06.436 IST</t>
        </is>
      </c>
      <c r="M3845" t="inlineStr">
        <is>
          <t>Sephali Kumari</t>
        </is>
      </c>
      <c r="N3845" t="inlineStr">
        <is>
          <t>No</t>
        </is>
      </c>
      <c r="O3845" t="inlineStr">
        <is>
          <t>Yes</t>
        </is>
      </c>
      <c r="P3845" t="inlineStr">
        <is>
          <t>Sindhusha</t>
        </is>
      </c>
      <c r="Q3845" t="inlineStr">
        <is>
          <t>Bad</t>
        </is>
      </c>
    </row>
    <row r="3846">
      <c r="A3846" t="inlineStr">
        <is>
          <t>sephali.k</t>
        </is>
      </c>
      <c r="B3846" t="inlineStr">
        <is>
          <t>Sephali Kumari</t>
        </is>
      </c>
      <c r="C3846" t="inlineStr">
        <is>
          <t>sephali.k@osmosys.co</t>
        </is>
      </c>
      <c r="D3846" t="inlineStr">
        <is>
          <t>incident-reporter</t>
        </is>
      </c>
      <c r="E3846">
        <f>HYPERLINK("http://gitlab.osmosys.co/incident-reporter/incident-reporter-api", "OQSHA-API")</f>
        <v/>
      </c>
      <c r="F3846">
        <f>HYPERLINK("http://gitlab.osmosys.co/incident-reporter/incident-reporter-api/-/merge_requests/4065", "feat: add user field visibility config migration")</f>
        <v/>
      </c>
      <c r="G3846" t="inlineStr">
        <is>
          <t>feat/user-field-json</t>
        </is>
      </c>
      <c r="H3846" t="inlineStr">
        <is>
          <t>sprint-17</t>
        </is>
      </c>
      <c r="I3846" t="inlineStr">
        <is>
          <t>merged</t>
        </is>
      </c>
      <c r="J3846" t="inlineStr">
        <is>
          <t>2ca10d2a9f4a9253dcab834dec0f8249cef75125</t>
        </is>
      </c>
      <c r="K3846">
        <f>HYPERLINK("http://gitlab.osmosys.co/incident-reporter/incident-reporter-api/-/merge_requests/4065#note_233602", "@sephali.k  - our sql version doesn't support JSON methods in the query, keep this migration &amp; follow the suggestion mentioned in this comment.")</f>
        <v/>
      </c>
      <c r="L3846" t="inlineStr">
        <is>
          <t>2025-07-09 15:37:43.162 IST</t>
        </is>
      </c>
      <c r="M3846" t="inlineStr">
        <is>
          <t>Sindhusha</t>
        </is>
      </c>
      <c r="N3846" t="inlineStr">
        <is>
          <t>Yes</t>
        </is>
      </c>
      <c r="O3846" t="inlineStr">
        <is>
          <t>Yes</t>
        </is>
      </c>
      <c r="P3846" t="inlineStr">
        <is>
          <t>Sindhusha</t>
        </is>
      </c>
      <c r="Q3846" t="inlineStr">
        <is>
          <t>Bad</t>
        </is>
      </c>
    </row>
    <row r="3847">
      <c r="A3847" t="inlineStr">
        <is>
          <t>sephali.k</t>
        </is>
      </c>
      <c r="B3847" t="inlineStr">
        <is>
          <t>Sephali Kumari</t>
        </is>
      </c>
      <c r="C3847" t="inlineStr">
        <is>
          <t>sephali.k@osmosys.co</t>
        </is>
      </c>
      <c r="D3847" t="inlineStr">
        <is>
          <t>incident-reporter</t>
        </is>
      </c>
      <c r="E3847">
        <f>HYPERLINK("http://gitlab.osmosys.co/incident-reporter/incident-reporter-api", "OQSHA-API")</f>
        <v/>
      </c>
      <c r="F3847">
        <f>HYPERLINK("http://gitlab.osmosys.co/incident-reporter/incident-reporter-api/-/merge_requests/4065", "feat: add user field visibility config migration")</f>
        <v/>
      </c>
      <c r="G3847" t="inlineStr">
        <is>
          <t>feat/user-field-json</t>
        </is>
      </c>
      <c r="H3847" t="inlineStr">
        <is>
          <t>sprint-17</t>
        </is>
      </c>
      <c r="I3847" t="inlineStr">
        <is>
          <t>merged</t>
        </is>
      </c>
      <c r="J3847" t="inlineStr">
        <is>
          <t>2ca10d2a9f4a9253dcab834dec0f8249cef75125</t>
        </is>
      </c>
      <c r="K3847">
        <f>HYPERLINK("http://gitlab.osmosys.co/incident-reporter/incident-reporter-api/-/merge_requests/4065#note_233661", "updated")</f>
        <v/>
      </c>
      <c r="L3847" t="inlineStr">
        <is>
          <t>2025-07-09 16:55:05.219 IST</t>
        </is>
      </c>
      <c r="M3847" t="inlineStr">
        <is>
          <t>Sephali Kumari</t>
        </is>
      </c>
      <c r="N3847" t="inlineStr">
        <is>
          <t>No</t>
        </is>
      </c>
      <c r="O3847" t="inlineStr">
        <is>
          <t>Yes</t>
        </is>
      </c>
      <c r="P3847" t="inlineStr">
        <is>
          <t>Sindhusha</t>
        </is>
      </c>
      <c r="Q3847" t="inlineStr">
        <is>
          <t>Bad</t>
        </is>
      </c>
    </row>
    <row r="3848">
      <c r="A3848" t="inlineStr">
        <is>
          <t>sephali.k</t>
        </is>
      </c>
      <c r="B3848" t="inlineStr">
        <is>
          <t>Sephali Kumari</t>
        </is>
      </c>
      <c r="C3848" t="inlineStr">
        <is>
          <t>sephali.k@osmosys.co</t>
        </is>
      </c>
      <c r="D3848" t="inlineStr">
        <is>
          <t>incident-reporter</t>
        </is>
      </c>
      <c r="E3848">
        <f>HYPERLINK("http://gitlab.osmosys.co/incident-reporter/incident-reporter-api", "OQSHA-API")</f>
        <v/>
      </c>
      <c r="F3848">
        <f>HYPERLINK("http://gitlab.osmosys.co/incident-reporter/incident-reporter-api/-/merge_requests/4065", "feat: add user field visibility config migration")</f>
        <v/>
      </c>
      <c r="G3848" t="inlineStr">
        <is>
          <t>feat/user-field-json</t>
        </is>
      </c>
      <c r="H3848" t="inlineStr">
        <is>
          <t>sprint-17</t>
        </is>
      </c>
      <c r="I3848" t="inlineStr">
        <is>
          <t>merged</t>
        </is>
      </c>
      <c r="J3848" t="inlineStr">
        <is>
          <t>f93a8e8bdef2ff5a0ae2cffd345a6db71a587513</t>
        </is>
      </c>
      <c r="K3848">
        <f>HYPERLINK("http://gitlab.osmosys.co/incident-reporter/incident-reporter-api/-/merge_requests/4065#note_233280", "Are we not sending it back in the page flags JSON? Can you check if this coming in get org by id.")</f>
        <v/>
      </c>
      <c r="L3848" t="inlineStr">
        <is>
          <t>2025-07-08 19:32:02.820 IST</t>
        </is>
      </c>
      <c r="M3848" t="inlineStr">
        <is>
          <t>Sindhusha</t>
        </is>
      </c>
      <c r="N3848" t="inlineStr">
        <is>
          <t>Yes</t>
        </is>
      </c>
      <c r="O3848" t="inlineStr">
        <is>
          <t>Yes</t>
        </is>
      </c>
      <c r="P3848" t="inlineStr">
        <is>
          <t>Sindhusha</t>
        </is>
      </c>
      <c r="Q3848" t="inlineStr">
        <is>
          <t>Neutral</t>
        </is>
      </c>
    </row>
    <row r="3849">
      <c r="A3849" t="inlineStr">
        <is>
          <t>sephali.k</t>
        </is>
      </c>
      <c r="B3849" t="inlineStr">
        <is>
          <t>Sephali Kumari</t>
        </is>
      </c>
      <c r="C3849" t="inlineStr">
        <is>
          <t>sephali.k@osmosys.co</t>
        </is>
      </c>
      <c r="D3849" t="inlineStr">
        <is>
          <t>incident-reporter</t>
        </is>
      </c>
      <c r="E3849">
        <f>HYPERLINK("http://gitlab.osmosys.co/incident-reporter/incident-reporter-api", "OQSHA-API")</f>
        <v/>
      </c>
      <c r="F3849">
        <f>HYPERLINK("http://gitlab.osmosys.co/incident-reporter/incident-reporter-api/-/merge_requests/4065", "feat: add user field visibility config migration")</f>
        <v/>
      </c>
      <c r="G3849" t="inlineStr">
        <is>
          <t>feat/user-field-json</t>
        </is>
      </c>
      <c r="H3849" t="inlineStr">
        <is>
          <t>sprint-17</t>
        </is>
      </c>
      <c r="I3849" t="inlineStr">
        <is>
          <t>merged</t>
        </is>
      </c>
      <c r="J3849" t="inlineStr">
        <is>
          <t>f93a8e8bdef2ff5a0ae2cffd345a6db71a587513</t>
        </is>
      </c>
      <c r="K3849">
        <f>HYPERLINK("http://gitlab.osmosys.co/incident-reporter/incident-reporter-api/-/merge_requests/4065#note_233329", "All flag flag attributes we are fetching in GetOrgById, added ss
![image](/uploads/3960cc82c33ab8df3f21cd8a8c2e6f55/image.png)")</f>
        <v/>
      </c>
      <c r="L3849" t="inlineStr">
        <is>
          <t>2025-07-08 20:42:59.952 IST</t>
        </is>
      </c>
      <c r="M3849" t="inlineStr">
        <is>
          <t>Sephali Kumari</t>
        </is>
      </c>
      <c r="N3849" t="inlineStr">
        <is>
          <t>No</t>
        </is>
      </c>
      <c r="O3849" t="inlineStr">
        <is>
          <t>Yes</t>
        </is>
      </c>
      <c r="P3849" t="inlineStr">
        <is>
          <t>Sindhusha</t>
        </is>
      </c>
      <c r="Q3849" t="inlineStr">
        <is>
          <t>Neutral</t>
        </is>
      </c>
    </row>
    <row r="3850">
      <c r="A3850" t="inlineStr">
        <is>
          <t>yogeshkumar.t</t>
        </is>
      </c>
      <c r="B3850" t="inlineStr">
        <is>
          <t>Yogesh Kumar T</t>
        </is>
      </c>
      <c r="C3850" t="inlineStr">
        <is>
          <t>yogeshkumar.t@osmosys.co</t>
        </is>
      </c>
      <c r="D3850" t="inlineStr">
        <is>
          <t>system-administration</t>
        </is>
      </c>
      <c r="E3850">
        <f>HYPERLINK("http://gitlab.osmosys.co/system-administration/miscellaneous-scripts", "miscellaneous-scripts")</f>
        <v/>
      </c>
      <c r="F3850">
        <f>HYPERLINK("http://gitlab.osmosys.co/system-administration/miscellaneous-scripts/-/merge_requests/2", "Adding .env, Readme.md and script file")</f>
        <v/>
      </c>
      <c r="G3850" t="inlineStr">
        <is>
          <t>tweaking-database</t>
        </is>
      </c>
      <c r="H3850" t="inlineStr">
        <is>
          <t>master</t>
        </is>
      </c>
      <c r="I3850" t="inlineStr">
        <is>
          <t>opened</t>
        </is>
      </c>
      <c r="J3850" t="inlineStr"/>
      <c r="K3850" t="inlineStr"/>
      <c r="L3850" t="inlineStr"/>
      <c r="M3850" t="inlineStr"/>
      <c r="N3850" t="inlineStr"/>
      <c r="O3850" t="inlineStr"/>
      <c r="P3850" t="inlineStr"/>
      <c r="Q3850" t="inlineStr"/>
    </row>
    <row r="3851">
      <c r="A3851" t="inlineStr">
        <is>
          <t>yogeshkumar.t</t>
        </is>
      </c>
      <c r="B3851" t="inlineStr">
        <is>
          <t>Yogesh Kumar T</t>
        </is>
      </c>
      <c r="C3851" t="inlineStr">
        <is>
          <t>yogeshkumar.t@osmosys.co</t>
        </is>
      </c>
      <c r="D3851" t="inlineStr">
        <is>
          <t>system-administration/automation-scripts</t>
        </is>
      </c>
      <c r="E3851">
        <f>HYPERLINK("http://gitlab.osmosys.co/system-administration/automation-scripts/tweaking-database", "tweaking-database")</f>
        <v/>
      </c>
      <c r="F3851">
        <f>HYPERLINK("http://gitlab.osmosys.co/system-administration/automation-scripts/tweaking-database/-/merge_requests/1", "Release one")</f>
        <v/>
      </c>
      <c r="G3851" t="inlineStr">
        <is>
          <t>release-one</t>
        </is>
      </c>
      <c r="H3851" t="inlineStr">
        <is>
          <t>main</t>
        </is>
      </c>
      <c r="I3851" t="inlineStr">
        <is>
          <t>opened</t>
        </is>
      </c>
      <c r="J3851" t="inlineStr"/>
      <c r="K3851" t="inlineStr"/>
      <c r="L3851" t="inlineStr"/>
      <c r="M3851" t="inlineStr"/>
      <c r="N3851" t="inlineStr"/>
      <c r="O3851" t="inlineStr"/>
      <c r="P3851" t="inlineStr"/>
      <c r="Q3851" t="inlineStr"/>
    </row>
    <row r="3852">
      <c r="A3852" t="inlineStr">
        <is>
          <t>yashwanth.m</t>
        </is>
      </c>
      <c r="B3852" t="inlineStr">
        <is>
          <t>Yashwanth M</t>
        </is>
      </c>
      <c r="C3852" t="inlineStr">
        <is>
          <t>yashwanth.m@osmosys.co</t>
        </is>
      </c>
      <c r="D3852" t="inlineStr">
        <is>
          <t>tp</t>
        </is>
      </c>
      <c r="E3852">
        <f>HYPERLINK("http://gitlab.osmosys.co/tp/TalonProAPI", "TalonProAPI")</f>
        <v/>
      </c>
      <c r="F3852">
        <f>HYPERLINK("http://gitlab.osmosys.co/tp/TalonProAPI/-/merge_requests/2113", "End date issue for EOD date is nothing")</f>
        <v/>
      </c>
      <c r="G3852" t="inlineStr">
        <is>
          <t>HotFix/Servicefee_16092_1</t>
        </is>
      </c>
      <c r="H3852" t="inlineStr">
        <is>
          <t>Staging_Development</t>
        </is>
      </c>
      <c r="I3852" t="inlineStr">
        <is>
          <t>merged</t>
        </is>
      </c>
      <c r="J3852" t="inlineStr"/>
      <c r="K3852" t="inlineStr"/>
      <c r="L3852" t="inlineStr"/>
      <c r="M3852" t="inlineStr"/>
      <c r="N3852" t="inlineStr"/>
      <c r="O3852" t="inlineStr"/>
      <c r="P3852" t="inlineStr"/>
      <c r="Q3852" t="inlineStr"/>
    </row>
    <row r="3853">
      <c r="A3853" t="inlineStr">
        <is>
          <t>yashwanth.m</t>
        </is>
      </c>
      <c r="B3853" t="inlineStr">
        <is>
          <t>Yashwanth M</t>
        </is>
      </c>
      <c r="C3853" t="inlineStr">
        <is>
          <t>yashwanth.m@osmosys.co</t>
        </is>
      </c>
      <c r="D3853" t="inlineStr">
        <is>
          <t>tp</t>
        </is>
      </c>
      <c r="E3853">
        <f>HYPERLINK("http://gitlab.osmosys.co/tp/TalonProAPI", "TalonProAPI")</f>
        <v/>
      </c>
      <c r="F3853">
        <f>HYPERLINK("http://gitlab.osmosys.co/tp/TalonProAPI/-/merge_requests/2112", "HotFix/Taxes fix for pipeline")</f>
        <v/>
      </c>
      <c r="G3853" t="inlineStr">
        <is>
          <t>HotFix/Servicefee_16092_1</t>
        </is>
      </c>
      <c r="H3853" t="inlineStr">
        <is>
          <t>Staging_Development</t>
        </is>
      </c>
      <c r="I3853" t="inlineStr">
        <is>
          <t>merged</t>
        </is>
      </c>
      <c r="J3853" t="inlineStr"/>
      <c r="K3853" t="inlineStr"/>
      <c r="L3853" t="inlineStr"/>
      <c r="M3853" t="inlineStr"/>
      <c r="N3853" t="inlineStr"/>
      <c r="O3853" t="inlineStr"/>
      <c r="P3853" t="inlineStr"/>
      <c r="Q3853" t="inlineStr"/>
    </row>
    <row r="3854">
      <c r="A3854" t="inlineStr">
        <is>
          <t>yashwanth.m</t>
        </is>
      </c>
      <c r="B3854" t="inlineStr">
        <is>
          <t>Yashwanth M</t>
        </is>
      </c>
      <c r="C3854" t="inlineStr">
        <is>
          <t>yashwanth.m@osmosys.co</t>
        </is>
      </c>
      <c r="D3854" t="inlineStr">
        <is>
          <t>tp</t>
        </is>
      </c>
      <c r="E3854">
        <f>HYPERLINK("http://gitlab.osmosys.co/tp/TalonProAPI", "TalonProAPI")</f>
        <v/>
      </c>
      <c r="F3854">
        <f>HYPERLINK("http://gitlab.osmosys.co/tp/TalonProAPI/-/merge_requests/2111", "Fix the issue for charges in the email extraction")</f>
        <v/>
      </c>
      <c r="G3854" t="inlineStr">
        <is>
          <t>HotFix/Chargeissue</t>
        </is>
      </c>
      <c r="H3854" t="inlineStr">
        <is>
          <t>Staging_Development</t>
        </is>
      </c>
      <c r="I3854" t="inlineStr">
        <is>
          <t>merged</t>
        </is>
      </c>
      <c r="J3854" t="inlineStr"/>
      <c r="K3854" t="inlineStr"/>
      <c r="L3854" t="inlineStr"/>
      <c r="M3854" t="inlineStr"/>
      <c r="N3854" t="inlineStr"/>
      <c r="O3854" t="inlineStr"/>
      <c r="P3854" t="inlineStr"/>
      <c r="Q3854" t="inlineStr"/>
    </row>
    <row r="3855">
      <c r="A3855" t="inlineStr">
        <is>
          <t>yashwanth.m</t>
        </is>
      </c>
      <c r="B3855" t="inlineStr">
        <is>
          <t>Yashwanth M</t>
        </is>
      </c>
      <c r="C3855" t="inlineStr">
        <is>
          <t>yashwanth.m@osmosys.co</t>
        </is>
      </c>
      <c r="D3855" t="inlineStr">
        <is>
          <t>tp</t>
        </is>
      </c>
      <c r="E3855">
        <f>HYPERLINK("http://gitlab.osmosys.co/tp/TalonProAPI", "TalonProAPI")</f>
        <v/>
      </c>
      <c r="F3855">
        <f>HYPERLINK("http://gitlab.osmosys.co/tp/TalonProAPI/-/merge_requests/2110", "HotFix/Servicefee_16092")</f>
        <v/>
      </c>
      <c r="G3855" t="inlineStr">
        <is>
          <t>HotFix/Servicefee_16092</t>
        </is>
      </c>
      <c r="H3855" t="inlineStr">
        <is>
          <t>Staging_Development</t>
        </is>
      </c>
      <c r="I3855" t="inlineStr">
        <is>
          <t>merged</t>
        </is>
      </c>
      <c r="J3855" t="inlineStr"/>
      <c r="K3855" t="inlineStr"/>
      <c r="L3855" t="inlineStr"/>
      <c r="M3855" t="inlineStr"/>
      <c r="N3855" t="inlineStr"/>
      <c r="O3855" t="inlineStr"/>
      <c r="P3855" t="inlineStr"/>
      <c r="Q3855" t="inlineStr"/>
    </row>
    <row r="3856">
      <c r="A3856" t="inlineStr">
        <is>
          <t>yashwanth.m</t>
        </is>
      </c>
      <c r="B3856" t="inlineStr">
        <is>
          <t>Yashwanth M</t>
        </is>
      </c>
      <c r="C3856" t="inlineStr">
        <is>
          <t>yashwanth.m@osmosys.co</t>
        </is>
      </c>
      <c r="D3856" t="inlineStr">
        <is>
          <t>tp</t>
        </is>
      </c>
      <c r="E3856">
        <f>HYPERLINK("http://gitlab.osmosys.co/tp/TalonProAPI", "TalonProAPI")</f>
        <v/>
      </c>
      <c r="F3856">
        <f>HYPERLINK("http://gitlab.osmosys.co/tp/TalonProAPI/-/merge_requests/2109", "HotFix/Servicefee_16092 TO Staging development")</f>
        <v/>
      </c>
      <c r="G3856" t="inlineStr">
        <is>
          <t>HotFix/Servicefee_16092</t>
        </is>
      </c>
      <c r="H3856" t="inlineStr">
        <is>
          <t>Staging_Development</t>
        </is>
      </c>
      <c r="I3856" t="inlineStr">
        <is>
          <t>merged</t>
        </is>
      </c>
      <c r="J3856" t="inlineStr"/>
      <c r="K3856" t="inlineStr"/>
      <c r="L3856" t="inlineStr"/>
      <c r="M3856" t="inlineStr"/>
      <c r="N3856" t="inlineStr"/>
      <c r="O3856" t="inlineStr"/>
      <c r="P3856" t="inlineStr"/>
      <c r="Q3856" t="inlineStr"/>
    </row>
    <row r="3857">
      <c r="A3857" t="inlineStr">
        <is>
          <t>yashwanth.m</t>
        </is>
      </c>
      <c r="B3857" t="inlineStr">
        <is>
          <t>Yashwanth M</t>
        </is>
      </c>
      <c r="C3857" t="inlineStr">
        <is>
          <t>yashwanth.m@osmosys.co</t>
        </is>
      </c>
      <c r="D3857" t="inlineStr">
        <is>
          <t>tp</t>
        </is>
      </c>
      <c r="E3857">
        <f>HYPERLINK("http://gitlab.osmosys.co/tp/TalonProAPI", "TalonProAPI")</f>
        <v/>
      </c>
      <c r="F3857">
        <f>HYPERLINK("http://gitlab.osmosys.co/tp/TalonProAPI/-/merge_requests/2108", "Service Fee param not corrrect")</f>
        <v/>
      </c>
      <c r="G3857" t="inlineStr">
        <is>
          <t>HotFix/Servicefee</t>
        </is>
      </c>
      <c r="H3857" t="inlineStr">
        <is>
          <t>Staging_Development</t>
        </is>
      </c>
      <c r="I3857" t="inlineStr">
        <is>
          <t>merged</t>
        </is>
      </c>
      <c r="J3857" t="inlineStr"/>
      <c r="K3857" t="inlineStr"/>
      <c r="L3857" t="inlineStr"/>
      <c r="M3857" t="inlineStr"/>
      <c r="N3857" t="inlineStr"/>
      <c r="O3857" t="inlineStr"/>
      <c r="P3857" t="inlineStr"/>
      <c r="Q3857" t="inlineStr"/>
    </row>
    <row r="3858">
      <c r="A3858" t="inlineStr">
        <is>
          <t>yashwanth.m</t>
        </is>
      </c>
      <c r="B3858" t="inlineStr">
        <is>
          <t>Yashwanth M</t>
        </is>
      </c>
      <c r="C3858" t="inlineStr">
        <is>
          <t>yashwanth.m@osmosys.co</t>
        </is>
      </c>
      <c r="D3858" t="inlineStr">
        <is>
          <t>tp</t>
        </is>
      </c>
      <c r="E3858">
        <f>HYPERLINK("http://gitlab.osmosys.co/tp/TalonProAPI", "TalonProAPI")</f>
        <v/>
      </c>
      <c r="F3858">
        <f>HYPERLINK("http://gitlab.osmosys.co/tp/TalonProAPI/-/merge_requests/2105", "Dev/T16092-Service-Fee-Savings")</f>
        <v/>
      </c>
      <c r="G3858" t="inlineStr">
        <is>
          <t>Dev/T16092-Service-Fee-Savings</t>
        </is>
      </c>
      <c r="H3858" t="inlineStr">
        <is>
          <t>Staging_Development</t>
        </is>
      </c>
      <c r="I3858" t="inlineStr">
        <is>
          <t>merged</t>
        </is>
      </c>
      <c r="J3858" t="inlineStr"/>
      <c r="K3858" t="inlineStr"/>
      <c r="L3858" t="inlineStr"/>
      <c r="M3858" t="inlineStr"/>
      <c r="N3858" t="inlineStr"/>
      <c r="O3858" t="inlineStr"/>
      <c r="P3858" t="inlineStr"/>
      <c r="Q3858" t="inlineStr"/>
    </row>
    <row r="3859">
      <c r="A3859" t="inlineStr">
        <is>
          <t>yashwanth.m</t>
        </is>
      </c>
      <c r="B3859" t="inlineStr">
        <is>
          <t>Yashwanth M</t>
        </is>
      </c>
      <c r="C3859" t="inlineStr">
        <is>
          <t>yashwanth.m@osmosys.co</t>
        </is>
      </c>
      <c r="D3859" t="inlineStr">
        <is>
          <t>tp</t>
        </is>
      </c>
      <c r="E3859">
        <f>HYPERLINK("http://gitlab.osmosys.co/tp/TalonProAPI", "TalonProAPI")</f>
        <v/>
      </c>
      <c r="F3859">
        <f>HYPERLINK("http://gitlab.osmosys.co/tp/TalonProAPI/-/merge_requests/2074", "16091 - Extraction worksheet extensions")</f>
        <v/>
      </c>
      <c r="G3859" t="inlineStr">
        <is>
          <t>dev/Email_Extraction_extensions</t>
        </is>
      </c>
      <c r="H3859" t="inlineStr">
        <is>
          <t>PreTest_Development</t>
        </is>
      </c>
      <c r="I3859" t="inlineStr">
        <is>
          <t>merged</t>
        </is>
      </c>
      <c r="J3859" t="inlineStr"/>
      <c r="K3859" t="inlineStr"/>
      <c r="L3859" t="inlineStr"/>
      <c r="M3859" t="inlineStr"/>
      <c r="N3859" t="inlineStr"/>
      <c r="O3859" t="inlineStr"/>
      <c r="P3859" t="inlineStr"/>
      <c r="Q3859" t="inlineStr"/>
    </row>
    <row r="3860">
      <c r="A3860" t="inlineStr">
        <is>
          <t>kishore.v</t>
        </is>
      </c>
      <c r="B3860" t="inlineStr">
        <is>
          <t>Kishore V</t>
        </is>
      </c>
      <c r="C3860" t="inlineStr">
        <is>
          <t>kishore.v@osmosys.co</t>
        </is>
      </c>
      <c r="D3860" t="inlineStr">
        <is>
          <t>incident-reporter</t>
        </is>
      </c>
      <c r="E3860">
        <f>HYPERLINK("http://gitlab.osmosys.co/incident-reporter/incident-reporter-api", "OQSHA-API")</f>
        <v/>
      </c>
      <c r="F3860">
        <f>HYPERLINK("http://gitlab.osmosys.co/incident-reporter/incident-reporter-api/-/merge_requests/4103", "feat: create get api to fetch comments and its attachments")</f>
        <v/>
      </c>
      <c r="G3860" t="inlineStr">
        <is>
          <t>feat/create-get-api-to-fetch-comments</t>
        </is>
      </c>
      <c r="H3860" t="inlineStr">
        <is>
          <t>sprint-17</t>
        </is>
      </c>
      <c r="I3860" t="inlineStr">
        <is>
          <t>opened</t>
        </is>
      </c>
      <c r="J3860" t="inlineStr"/>
      <c r="K3860" t="inlineStr"/>
      <c r="L3860" t="inlineStr"/>
      <c r="M3860" t="inlineStr"/>
      <c r="N3860" t="inlineStr"/>
      <c r="O3860" t="inlineStr"/>
      <c r="P3860" t="inlineStr"/>
      <c r="Q3860" t="inlineStr"/>
    </row>
    <row r="3861">
      <c r="A3861" t="inlineStr">
        <is>
          <t>kishore.v</t>
        </is>
      </c>
      <c r="B3861" t="inlineStr">
        <is>
          <t>Kishore V</t>
        </is>
      </c>
      <c r="C3861" t="inlineStr">
        <is>
          <t>kishore.v@osmosys.co</t>
        </is>
      </c>
      <c r="D3861" t="inlineStr">
        <is>
          <t>incident-reporter</t>
        </is>
      </c>
      <c r="E3861">
        <f>HYPERLINK("http://gitlab.osmosys.co/incident-reporter/incident-reporter-api", "OQSHA-API")</f>
        <v/>
      </c>
      <c r="F3861">
        <f>HYPERLINK("http://gitlab.osmosys.co/incident-reporter/incident-reporter-api/-/merge_requests/4091", "feat: integrate audit log for departments apis")</f>
        <v/>
      </c>
      <c r="G3861" t="inlineStr">
        <is>
          <t>feat/integrate-audit-log-for-departments-apis</t>
        </is>
      </c>
      <c r="H3861" t="inlineStr">
        <is>
          <t>sprint-19</t>
        </is>
      </c>
      <c r="I3861" t="inlineStr">
        <is>
          <t>merged</t>
        </is>
      </c>
      <c r="J3861" t="inlineStr">
        <is>
          <t>f8013e9b2fd392cd02ebee1081ff785ac7a54b05</t>
        </is>
      </c>
      <c r="K3861">
        <f>HYPERLINK("http://gitlab.osmosys.co/incident-reporter/incident-reporter-api/-/merge_requests/4091#note_245474", "Add status check for both department_history and users")</f>
        <v/>
      </c>
      <c r="L3861" t="inlineStr">
        <is>
          <t>2025-08-01 15:27:43.586 IST</t>
        </is>
      </c>
      <c r="M3861" t="inlineStr">
        <is>
          <t>Kumar Samarjeet</t>
        </is>
      </c>
      <c r="N3861" t="inlineStr">
        <is>
          <t>Yes</t>
        </is>
      </c>
      <c r="O3861" t="inlineStr">
        <is>
          <t>Yes</t>
        </is>
      </c>
      <c r="P3861" t="inlineStr">
        <is>
          <t>Kumar Samarjeet</t>
        </is>
      </c>
      <c r="Q3861" t="inlineStr">
        <is>
          <t>Bad</t>
        </is>
      </c>
    </row>
    <row r="3862">
      <c r="A3862" t="inlineStr">
        <is>
          <t>kishore.v</t>
        </is>
      </c>
      <c r="B3862" t="inlineStr">
        <is>
          <t>Kishore V</t>
        </is>
      </c>
      <c r="C3862" t="inlineStr">
        <is>
          <t>kishore.v@osmosys.co</t>
        </is>
      </c>
      <c r="D3862" t="inlineStr">
        <is>
          <t>incident-reporter</t>
        </is>
      </c>
      <c r="E3862">
        <f>HYPERLINK("http://gitlab.osmosys.co/incident-reporter/incident-reporter-api", "OQSHA-API")</f>
        <v/>
      </c>
      <c r="F3862">
        <f>HYPERLINK("http://gitlab.osmosys.co/incident-reporter/incident-reporter-api/-/merge_requests/4091", "feat: integrate audit log for departments apis")</f>
        <v/>
      </c>
      <c r="G3862" t="inlineStr">
        <is>
          <t>feat/integrate-audit-log-for-departments-apis</t>
        </is>
      </c>
      <c r="H3862" t="inlineStr">
        <is>
          <t>sprint-19</t>
        </is>
      </c>
      <c r="I3862" t="inlineStr">
        <is>
          <t>merged</t>
        </is>
      </c>
      <c r="J3862" t="inlineStr">
        <is>
          <t>f8013e9b2fd392cd02ebee1081ff785ac7a54b05</t>
        </is>
      </c>
      <c r="K3862">
        <f>HYPERLINK("http://gitlab.osmosys.co/incident-reporter/incident-reporter-api/-/merge_requests/4091#note_245501", "Added Status check")</f>
        <v/>
      </c>
      <c r="L3862" t="inlineStr">
        <is>
          <t>2025-08-01 15:54:47.871 IST</t>
        </is>
      </c>
      <c r="M3862" t="inlineStr">
        <is>
          <t>Sagar Aswar</t>
        </is>
      </c>
      <c r="N3862" t="inlineStr">
        <is>
          <t>Yes</t>
        </is>
      </c>
      <c r="O3862" t="inlineStr">
        <is>
          <t>Yes</t>
        </is>
      </c>
      <c r="P3862" t="inlineStr">
        <is>
          <t>Kumar Samarjeet</t>
        </is>
      </c>
      <c r="Q3862" t="inlineStr">
        <is>
          <t>Bad</t>
        </is>
      </c>
    </row>
    <row r="3863">
      <c r="A3863" t="inlineStr">
        <is>
          <t>kishore.v</t>
        </is>
      </c>
      <c r="B3863" t="inlineStr">
        <is>
          <t>Kishore V</t>
        </is>
      </c>
      <c r="C3863" t="inlineStr">
        <is>
          <t>kishore.v@osmosys.co</t>
        </is>
      </c>
      <c r="D3863" t="inlineStr">
        <is>
          <t>incident-reporter</t>
        </is>
      </c>
      <c r="E3863">
        <f>HYPERLINK("http://gitlab.osmosys.co/incident-reporter/incident-reporter-api", "OQSHA-API")</f>
        <v/>
      </c>
      <c r="F3863">
        <f>HYPERLINK("http://gitlab.osmosys.co/incident-reporter/incident-reporter-api/-/merge_requests/4091", "feat: integrate audit log for departments apis")</f>
        <v/>
      </c>
      <c r="G3863" t="inlineStr">
        <is>
          <t>feat/integrate-audit-log-for-departments-apis</t>
        </is>
      </c>
      <c r="H3863" t="inlineStr">
        <is>
          <t>sprint-19</t>
        </is>
      </c>
      <c r="I3863" t="inlineStr">
        <is>
          <t>merged</t>
        </is>
      </c>
      <c r="J3863" t="inlineStr">
        <is>
          <t>e048fc96bc136b2090778ee0fbf19ab3dbde869f</t>
        </is>
      </c>
      <c r="K3863">
        <f>HYPERLINK("http://gitlab.osmosys.co/incident-reporter/incident-reporter-api/-/merge_requests/4091#note_245475", "Move this sprint-19 folder")</f>
        <v/>
      </c>
      <c r="L3863" t="inlineStr">
        <is>
          <t>2025-08-01 15:27:43.673 IST</t>
        </is>
      </c>
      <c r="M3863" t="inlineStr">
        <is>
          <t>Kumar Samarjeet</t>
        </is>
      </c>
      <c r="N3863" t="inlineStr">
        <is>
          <t>Yes</t>
        </is>
      </c>
      <c r="O3863" t="inlineStr">
        <is>
          <t>Yes</t>
        </is>
      </c>
      <c r="P3863" t="inlineStr">
        <is>
          <t>Kumar Samarjeet</t>
        </is>
      </c>
      <c r="Q3863" t="inlineStr">
        <is>
          <t>Bad</t>
        </is>
      </c>
    </row>
    <row r="3864">
      <c r="A3864" t="inlineStr">
        <is>
          <t>kishore.v</t>
        </is>
      </c>
      <c r="B3864" t="inlineStr">
        <is>
          <t>Kishore V</t>
        </is>
      </c>
      <c r="C3864" t="inlineStr">
        <is>
          <t>kishore.v@osmosys.co</t>
        </is>
      </c>
      <c r="D3864" t="inlineStr">
        <is>
          <t>incident-reporter</t>
        </is>
      </c>
      <c r="E3864">
        <f>HYPERLINK("http://gitlab.osmosys.co/incident-reporter/incident-reporter-api", "OQSHA-API")</f>
        <v/>
      </c>
      <c r="F3864">
        <f>HYPERLINK("http://gitlab.osmosys.co/incident-reporter/incident-reporter-api/-/merge_requests/4091", "feat: integrate audit log for departments apis")</f>
        <v/>
      </c>
      <c r="G3864" t="inlineStr">
        <is>
          <t>feat/integrate-audit-log-for-departments-apis</t>
        </is>
      </c>
      <c r="H3864" t="inlineStr">
        <is>
          <t>sprint-19</t>
        </is>
      </c>
      <c r="I3864" t="inlineStr">
        <is>
          <t>merged</t>
        </is>
      </c>
      <c r="J3864" t="inlineStr">
        <is>
          <t>e048fc96bc136b2090778ee0fbf19ab3dbde869f</t>
        </is>
      </c>
      <c r="K3864">
        <f>HYPERLINK("http://gitlab.osmosys.co/incident-reporter/incident-reporter-api/-/merge_requests/4091#note_245502", "Move the Migration to sprint-19 folder")</f>
        <v/>
      </c>
      <c r="L3864" t="inlineStr">
        <is>
          <t>2025-08-01 15:55:09.512 IST</t>
        </is>
      </c>
      <c r="M3864" t="inlineStr">
        <is>
          <t>Sagar Aswar</t>
        </is>
      </c>
      <c r="N3864" t="inlineStr">
        <is>
          <t>Yes</t>
        </is>
      </c>
      <c r="O3864" t="inlineStr">
        <is>
          <t>Yes</t>
        </is>
      </c>
      <c r="P3864" t="inlineStr">
        <is>
          <t>Kumar Samarjeet</t>
        </is>
      </c>
      <c r="Q3864" t="inlineStr">
        <is>
          <t>Bad</t>
        </is>
      </c>
    </row>
    <row r="3865">
      <c r="A3865" t="inlineStr">
        <is>
          <t>kishore.v</t>
        </is>
      </c>
      <c r="B3865" t="inlineStr">
        <is>
          <t>Kishore V</t>
        </is>
      </c>
      <c r="C3865" t="inlineStr">
        <is>
          <t>kishore.v@osmosys.co</t>
        </is>
      </c>
      <c r="D3865" t="inlineStr">
        <is>
          <t>incident-reporter</t>
        </is>
      </c>
      <c r="E3865">
        <f>HYPERLINK("http://gitlab.osmosys.co/incident-reporter/incident-reporter-api", "OQSHA-API")</f>
        <v/>
      </c>
      <c r="F3865">
        <f>HYPERLINK("http://gitlab.osmosys.co/incident-reporter/incident-reporter-api/-/merge_requests/4081", "feat: add migration to insert material types and uid formula")</f>
        <v/>
      </c>
      <c r="G3865" t="inlineStr">
        <is>
          <t>feat/add-esg-material-type-migration</t>
        </is>
      </c>
      <c r="H3865" t="inlineStr">
        <is>
          <t>sprint-17</t>
        </is>
      </c>
      <c r="I3865" t="inlineStr">
        <is>
          <t>opened</t>
        </is>
      </c>
      <c r="J3865" t="inlineStr"/>
      <c r="K3865" t="inlineStr"/>
      <c r="L3865" t="inlineStr"/>
      <c r="M3865" t="inlineStr"/>
      <c r="N3865" t="inlineStr"/>
      <c r="O3865" t="inlineStr"/>
      <c r="P3865" t="inlineStr"/>
      <c r="Q3865" t="inlineStr"/>
    </row>
    <row r="3866">
      <c r="A3866" t="inlineStr">
        <is>
          <t>kishore.v</t>
        </is>
      </c>
      <c r="B3866" t="inlineStr">
        <is>
          <t>Kishore V</t>
        </is>
      </c>
      <c r="C3866" t="inlineStr">
        <is>
          <t>kishore.v@osmosys.co</t>
        </is>
      </c>
      <c r="D3866" t="inlineStr">
        <is>
          <t>incident-reporter</t>
        </is>
      </c>
      <c r="E3866">
        <f>HYPERLINK("http://gitlab.osmosys.co/incident-reporter/incident-reporter-api", "OQSHA-API")</f>
        <v/>
      </c>
      <c r="F3866">
        <f>HYPERLINK("http://gitlab.osmosys.co/incident-reporter/incident-reporter-api/-/merge_requests/4066", "feat: implement delete employee medical record api")</f>
        <v/>
      </c>
      <c r="G3866" t="inlineStr">
        <is>
          <t>feat/delete-employee-medical-record</t>
        </is>
      </c>
      <c r="H3866" t="inlineStr">
        <is>
          <t>sprint-17</t>
        </is>
      </c>
      <c r="I3866" t="inlineStr">
        <is>
          <t>opened</t>
        </is>
      </c>
      <c r="J3866" t="inlineStr"/>
      <c r="K3866" t="inlineStr"/>
      <c r="L3866" t="inlineStr"/>
      <c r="M3866" t="inlineStr"/>
      <c r="N3866" t="inlineStr"/>
      <c r="O3866" t="inlineStr"/>
      <c r="P3866" t="inlineStr"/>
      <c r="Q3866" t="inlineStr"/>
    </row>
    <row r="3867">
      <c r="A3867" t="inlineStr">
        <is>
          <t>kishore.v</t>
        </is>
      </c>
      <c r="B3867" t="inlineStr">
        <is>
          <t>Kishore V</t>
        </is>
      </c>
      <c r="C3867" t="inlineStr">
        <is>
          <t>kishore.v@osmosys.co</t>
        </is>
      </c>
      <c r="D3867" t="inlineStr">
        <is>
          <t>incident-reporter</t>
        </is>
      </c>
      <c r="E3867">
        <f>HYPERLINK("http://gitlab.osmosys.co/incident-reporter/incident-reporter-api", "OQSHA-API")</f>
        <v/>
      </c>
      <c r="F3867">
        <f>HYPERLINK("http://gitlab.osmosys.co/incident-reporter/incident-reporter-api/-/merge_requests/4049", "fix: update get audit associated tasks api to fetch all associated tasks")</f>
        <v/>
      </c>
      <c r="G3867" t="inlineStr">
        <is>
          <t>fix/get-audit-associated-tasks</t>
        </is>
      </c>
      <c r="H3867" t="inlineStr">
        <is>
          <t>sprint-17</t>
        </is>
      </c>
      <c r="I3867" t="inlineStr">
        <is>
          <t>merged</t>
        </is>
      </c>
      <c r="J3867" t="inlineStr">
        <is>
          <t>343ee966f457507a832e054db0b19c79dc8ec60e</t>
        </is>
      </c>
      <c r="K3867">
        <f>HYPERLINK("http://gitlab.osmosys.co/incident-reporter/incident-reporter-api/-/merge_requests/4049#note_232172", "I want this query to have audit_tasks as main table &amp; join should be on tasks, since our API is trying to fetch audit tasks &amp; to get the tasks data we can join tasks table.")</f>
        <v/>
      </c>
      <c r="L3867" t="inlineStr">
        <is>
          <t>2025-07-04 16:55:16.424 IST</t>
        </is>
      </c>
      <c r="M3867" t="inlineStr">
        <is>
          <t>Sindhusha</t>
        </is>
      </c>
      <c r="N3867" t="inlineStr">
        <is>
          <t>Yes</t>
        </is>
      </c>
      <c r="O3867" t="inlineStr">
        <is>
          <t>Yes</t>
        </is>
      </c>
      <c r="P3867" t="inlineStr">
        <is>
          <t>Sindhusha</t>
        </is>
      </c>
      <c r="Q3867" t="inlineStr">
        <is>
          <t>Bad</t>
        </is>
      </c>
    </row>
    <row r="3868">
      <c r="A3868" t="inlineStr">
        <is>
          <t>kishore.v</t>
        </is>
      </c>
      <c r="B3868" t="inlineStr">
        <is>
          <t>Kishore V</t>
        </is>
      </c>
      <c r="C3868" t="inlineStr">
        <is>
          <t>kishore.v@osmosys.co</t>
        </is>
      </c>
      <c r="D3868" t="inlineStr">
        <is>
          <t>incident-reporter</t>
        </is>
      </c>
      <c r="E3868">
        <f>HYPERLINK("http://gitlab.osmosys.co/incident-reporter/incident-reporter-api", "OQSHA-API")</f>
        <v/>
      </c>
      <c r="F3868">
        <f>HYPERLINK("http://gitlab.osmosys.co/incident-reporter/incident-reporter-api/-/merge_requests/4049", "fix: update get audit associated tasks api to fetch all associated tasks")</f>
        <v/>
      </c>
      <c r="G3868" t="inlineStr">
        <is>
          <t>fix/get-audit-associated-tasks</t>
        </is>
      </c>
      <c r="H3868" t="inlineStr">
        <is>
          <t>sprint-17</t>
        </is>
      </c>
      <c r="I3868" t="inlineStr">
        <is>
          <t>merged</t>
        </is>
      </c>
      <c r="J3868" t="inlineStr">
        <is>
          <t>343ee966f457507a832e054db0b19c79dc8ec60e</t>
        </is>
      </c>
      <c r="K3868">
        <f>HYPERLINK("http://gitlab.osmosys.co/incident-reporter/incident-reporter-api/-/merge_requests/4049#note_232176", "Updated the required changes.")</f>
        <v/>
      </c>
      <c r="L3868" t="inlineStr">
        <is>
          <t>2025-07-04 17:09:39.629 IST</t>
        </is>
      </c>
      <c r="M3868" t="inlineStr">
        <is>
          <t>Kishore V</t>
        </is>
      </c>
      <c r="N3868" t="inlineStr">
        <is>
          <t>No</t>
        </is>
      </c>
      <c r="O3868" t="inlineStr">
        <is>
          <t>Yes</t>
        </is>
      </c>
      <c r="P3868" t="inlineStr">
        <is>
          <t>Sindhusha</t>
        </is>
      </c>
      <c r="Q3868" t="inlineStr">
        <is>
          <t>Bad</t>
        </is>
      </c>
    </row>
    <row r="3869">
      <c r="A3869" t="inlineStr">
        <is>
          <t>kishore.v</t>
        </is>
      </c>
      <c r="B3869" t="inlineStr">
        <is>
          <t>Kishore V</t>
        </is>
      </c>
      <c r="C3869" t="inlineStr">
        <is>
          <t>kishore.v@osmosys.co</t>
        </is>
      </c>
      <c r="D3869" t="inlineStr">
        <is>
          <t>incident-reporter</t>
        </is>
      </c>
      <c r="E3869">
        <f>HYPERLINK("http://gitlab.osmosys.co/incident-reporter/incident-reporter-api", "OQSHA-API")</f>
        <v/>
      </c>
      <c r="F3869">
        <f>HYPERLINK("http://gitlab.osmosys.co/incident-reporter/incident-reporter-api/-/merge_requests/4044", "fix: update export user api to fix the exception")</f>
        <v/>
      </c>
      <c r="G3869" t="inlineStr">
        <is>
          <t>fix/export-user</t>
        </is>
      </c>
      <c r="H3869" t="inlineStr">
        <is>
          <t>sprint-16_v2</t>
        </is>
      </c>
      <c r="I3869" t="inlineStr">
        <is>
          <t>merged</t>
        </is>
      </c>
      <c r="J3869" t="inlineStr">
        <is>
          <t>5a9c992a7c5f67510eed8a0f4e640c63ab5e4ac0</t>
        </is>
      </c>
      <c r="K3869">
        <f>HYPERLINK("http://gitlab.osmosys.co/incident-reporter/incident-reporter-api/-/merge_requests/4044#note_232116", "Why is this needed? DO NOT MERGE BUG FIXES In ONE PR.")</f>
        <v/>
      </c>
      <c r="L3869" t="inlineStr">
        <is>
          <t>2025-07-04 15:33:34.814 IST</t>
        </is>
      </c>
      <c r="M3869" t="inlineStr">
        <is>
          <t>Sindhusha</t>
        </is>
      </c>
      <c r="N3869" t="inlineStr">
        <is>
          <t>Yes</t>
        </is>
      </c>
      <c r="O3869" t="inlineStr">
        <is>
          <t>Yes</t>
        </is>
      </c>
      <c r="P3869" t="inlineStr">
        <is>
          <t>Sindhusha</t>
        </is>
      </c>
      <c r="Q3869" t="inlineStr">
        <is>
          <t>Bad</t>
        </is>
      </c>
    </row>
    <row r="3870">
      <c r="A3870" t="inlineStr">
        <is>
          <t>kishore.v</t>
        </is>
      </c>
      <c r="B3870" t="inlineStr">
        <is>
          <t>Kishore V</t>
        </is>
      </c>
      <c r="C3870" t="inlineStr">
        <is>
          <t>kishore.v@osmosys.co</t>
        </is>
      </c>
      <c r="D3870" t="inlineStr">
        <is>
          <t>incident-reporter</t>
        </is>
      </c>
      <c r="E3870">
        <f>HYPERLINK("http://gitlab.osmosys.co/incident-reporter/incident-reporter-api", "OQSHA-API")</f>
        <v/>
      </c>
      <c r="F3870">
        <f>HYPERLINK("http://gitlab.osmosys.co/incident-reporter/incident-reporter-api/-/merge_requests/4044", "fix: update export user api to fix the exception")</f>
        <v/>
      </c>
      <c r="G3870" t="inlineStr">
        <is>
          <t>fix/export-user</t>
        </is>
      </c>
      <c r="H3870" t="inlineStr">
        <is>
          <t>sprint-16_v2</t>
        </is>
      </c>
      <c r="I3870" t="inlineStr">
        <is>
          <t>merged</t>
        </is>
      </c>
      <c r="J3870" t="inlineStr">
        <is>
          <t>5a9c992a7c5f67510eed8a0f4e640c63ab5e4ac0</t>
        </is>
      </c>
      <c r="K3870">
        <f>HYPERLINK("http://gitlab.osmosys.co/incident-reporter/incident-reporter-api/-/merge_requests/4044#note_232127", "No this fix is related to the same api. It was throwing the error if file path isn't present. It is better to have this check to handle the creation through code itself.")</f>
        <v/>
      </c>
      <c r="L3870" t="inlineStr">
        <is>
          <t>2025-07-04 15:40:42.341 IST</t>
        </is>
      </c>
      <c r="M3870" t="inlineStr">
        <is>
          <t>Kishore V</t>
        </is>
      </c>
      <c r="N3870" t="inlineStr">
        <is>
          <t>No</t>
        </is>
      </c>
      <c r="O3870" t="inlineStr">
        <is>
          <t>Yes</t>
        </is>
      </c>
      <c r="P3870" t="inlineStr">
        <is>
          <t>Sindhusha</t>
        </is>
      </c>
      <c r="Q3870" t="inlineStr">
        <is>
          <t>Bad</t>
        </is>
      </c>
    </row>
    <row r="3871">
      <c r="A3871" t="inlineStr">
        <is>
          <t>soundariya.b</t>
        </is>
      </c>
      <c r="B3871" t="inlineStr">
        <is>
          <t>Soundariya B</t>
        </is>
      </c>
      <c r="C3871" t="inlineStr">
        <is>
          <t>soundariya.b@osmosys.co</t>
        </is>
      </c>
      <c r="D3871" t="inlineStr">
        <is>
          <t>incident-reporter</t>
        </is>
      </c>
      <c r="E3871">
        <f>HYPERLINK("http://gitlab.osmosys.co/incident-reporter/incident-reporter-angular-portal", "OQSHA Portal")</f>
        <v/>
      </c>
      <c r="F3871">
        <f>HYPERLINK("http://gitlab.osmosys.co/incident-reporter/incident-reporter-angular-portal/-/merge_requests/3598", "feat: add the associated task for pssr")</f>
        <v/>
      </c>
      <c r="G3871" t="inlineStr">
        <is>
          <t>feat/associated-task-pssr</t>
        </is>
      </c>
      <c r="H3871" t="inlineStr">
        <is>
          <t>sprint-18</t>
        </is>
      </c>
      <c r="I3871" t="inlineStr">
        <is>
          <t>closed</t>
        </is>
      </c>
      <c r="J3871" t="inlineStr"/>
      <c r="K3871" t="inlineStr"/>
      <c r="L3871" t="inlineStr"/>
      <c r="M3871" t="inlineStr"/>
      <c r="N3871" t="inlineStr"/>
      <c r="O3871" t="inlineStr"/>
      <c r="P3871" t="inlineStr"/>
      <c r="Q3871" t="inlineStr"/>
    </row>
    <row r="3872">
      <c r="A3872" t="inlineStr">
        <is>
          <t>soundariya.b</t>
        </is>
      </c>
      <c r="B3872" t="inlineStr">
        <is>
          <t>Soundariya B</t>
        </is>
      </c>
      <c r="C3872" t="inlineStr">
        <is>
          <t>soundariya.b@osmosys.co</t>
        </is>
      </c>
      <c r="D3872" t="inlineStr">
        <is>
          <t>incident-reporter</t>
        </is>
      </c>
      <c r="E3872">
        <f>HYPERLINK("http://gitlab.osmosys.co/incident-reporter/incident-reporter-angular-portal", "OQSHA Portal")</f>
        <v/>
      </c>
      <c r="F3872">
        <f>HYPERLINK("http://gitlab.osmosys.co/incident-reporter/incident-reporter-angular-portal/-/merge_requests/3529", "Draft: feat: host the dual component for ttk org")</f>
        <v/>
      </c>
      <c r="G3872" t="inlineStr">
        <is>
          <t>feat/dual-component-loader</t>
        </is>
      </c>
      <c r="H3872" t="inlineStr">
        <is>
          <t>sprint-17</t>
        </is>
      </c>
      <c r="I3872" t="inlineStr">
        <is>
          <t>opened</t>
        </is>
      </c>
      <c r="J3872" t="inlineStr"/>
      <c r="K3872" t="inlineStr"/>
      <c r="L3872" t="inlineStr"/>
      <c r="M3872" t="inlineStr"/>
      <c r="N3872" t="inlineStr"/>
      <c r="O3872" t="inlineStr"/>
      <c r="P3872" t="inlineStr"/>
      <c r="Q3872" t="inlineStr"/>
    </row>
    <row r="3873">
      <c r="A3873" t="inlineStr">
        <is>
          <t>soundariya.b</t>
        </is>
      </c>
      <c r="B3873" t="inlineStr">
        <is>
          <t>Soundariya B</t>
        </is>
      </c>
      <c r="C3873" t="inlineStr">
        <is>
          <t>soundariya.b@osmosys.co</t>
        </is>
      </c>
      <c r="D3873" t="inlineStr">
        <is>
          <t>tgm</t>
        </is>
      </c>
      <c r="E3873">
        <f>HYPERLINK("http://gitlab.osmosys.co/tgm/guild-subcontractor-app", "Guild subcontractor App")</f>
        <v/>
      </c>
      <c r="F3873">
        <f>HYPERLINK("http://gitlab.osmosys.co/tgm/guild-subcontractor-app/-/merge_requests/105", "fix: add the fix for registration switching and data vanishing")</f>
        <v/>
      </c>
      <c r="G3873" t="inlineStr">
        <is>
          <t>fix/switching-issue</t>
        </is>
      </c>
      <c r="H3873" t="inlineStr">
        <is>
          <t>GAL</t>
        </is>
      </c>
      <c r="I3873" t="inlineStr">
        <is>
          <t>merged</t>
        </is>
      </c>
      <c r="J3873" t="inlineStr"/>
      <c r="K3873" t="inlineStr"/>
      <c r="L3873" t="inlineStr"/>
      <c r="M3873" t="inlineStr"/>
      <c r="N3873" t="inlineStr"/>
      <c r="O3873" t="inlineStr"/>
      <c r="P3873" t="inlineStr"/>
      <c r="Q3873" t="inlineStr"/>
    </row>
    <row r="3874">
      <c r="A3874" t="inlineStr">
        <is>
          <t>anand.p</t>
        </is>
      </c>
      <c r="B3874" t="inlineStr">
        <is>
          <t>Anand Prakash</t>
        </is>
      </c>
      <c r="C3874" t="inlineStr">
        <is>
          <t>anand.p@osmosys.co</t>
        </is>
      </c>
      <c r="D3874" t="inlineStr">
        <is>
          <t>talking-buddy</t>
        </is>
      </c>
      <c r="E3874">
        <f>HYPERLINK("http://gitlab.osmosys.co/talking-buddy/app", "app")</f>
        <v/>
      </c>
      <c r="F3874">
        <f>HYPERLINK("http://gitlab.osmosys.co/talking-buddy/app/-/merge_requests/369", "prod: First Production Release")</f>
        <v/>
      </c>
      <c r="G3874" t="inlineStr">
        <is>
          <t>dev</t>
        </is>
      </c>
      <c r="H3874" t="inlineStr">
        <is>
          <t>main</t>
        </is>
      </c>
      <c r="I3874" t="inlineStr">
        <is>
          <t>merged</t>
        </is>
      </c>
      <c r="J3874" t="inlineStr"/>
      <c r="K3874" t="inlineStr"/>
      <c r="L3874" t="inlineStr"/>
      <c r="M3874" t="inlineStr"/>
      <c r="N3874" t="inlineStr"/>
      <c r="O3874" t="inlineStr"/>
      <c r="P3874" t="inlineStr"/>
      <c r="Q3874" t="inlineStr"/>
    </row>
    <row r="3875">
      <c r="A3875" t="inlineStr">
        <is>
          <t>anand.p</t>
        </is>
      </c>
      <c r="B3875" t="inlineStr">
        <is>
          <t>Anand Prakash</t>
        </is>
      </c>
      <c r="C3875" t="inlineStr">
        <is>
          <t>anand.p@osmosys.co</t>
        </is>
      </c>
      <c r="D3875" t="inlineStr">
        <is>
          <t>talking-buddy</t>
        </is>
      </c>
      <c r="E3875">
        <f>HYPERLINK("http://gitlab.osmosys.co/talking-buddy/app", "app")</f>
        <v/>
      </c>
      <c r="F3875">
        <f>HYPERLINK("http://gitlab.osmosys.co/talking-buddy/app/-/merge_requests/368", "Update/permission description")</f>
        <v/>
      </c>
      <c r="G3875" t="inlineStr">
        <is>
          <t>update/permission-description</t>
        </is>
      </c>
      <c r="H3875" t="inlineStr">
        <is>
          <t>dev</t>
        </is>
      </c>
      <c r="I3875" t="inlineStr">
        <is>
          <t>merged</t>
        </is>
      </c>
      <c r="J3875" t="inlineStr"/>
      <c r="K3875" t="inlineStr"/>
      <c r="L3875" t="inlineStr"/>
      <c r="M3875" t="inlineStr"/>
      <c r="N3875" t="inlineStr"/>
      <c r="O3875" t="inlineStr"/>
      <c r="P3875" t="inlineStr"/>
      <c r="Q3875" t="inlineStr"/>
    </row>
    <row r="3876">
      <c r="A3876" t="inlineStr">
        <is>
          <t>sameer</t>
        </is>
      </c>
      <c r="B3876" t="inlineStr">
        <is>
          <t>Sameer Shaik</t>
        </is>
      </c>
      <c r="C3876" t="inlineStr">
        <is>
          <t>sameer.shaik@osmosys.co</t>
        </is>
      </c>
      <c r="D3876" t="inlineStr">
        <is>
          <t>incident-reporter</t>
        </is>
      </c>
      <c r="E3876">
        <f>HYPERLINK("http://gitlab.osmosys.co/incident-reporter/incident-reporter-api", "OQSHA-API")</f>
        <v/>
      </c>
      <c r="F3876">
        <f>HYPERLINK("http://gitlab.osmosys.co/incident-reporter/incident-reporter-api/-/merge_requests/4466", "Sprint 18")</f>
        <v/>
      </c>
      <c r="G3876" t="inlineStr">
        <is>
          <t>sprint-18</t>
        </is>
      </c>
      <c r="H3876" t="inlineStr">
        <is>
          <t>sprint-19</t>
        </is>
      </c>
      <c r="I3876" t="inlineStr">
        <is>
          <t>opened</t>
        </is>
      </c>
      <c r="J3876" t="inlineStr"/>
      <c r="K3876" t="inlineStr"/>
      <c r="L3876" t="inlineStr"/>
      <c r="M3876" t="inlineStr"/>
      <c r="N3876" t="inlineStr"/>
      <c r="O3876" t="inlineStr"/>
      <c r="P3876" t="inlineStr"/>
      <c r="Q3876" t="inlineStr"/>
    </row>
    <row r="3877">
      <c r="A3877" t="inlineStr">
        <is>
          <t>sameer</t>
        </is>
      </c>
      <c r="B3877" t="inlineStr">
        <is>
          <t>Sameer Shaik</t>
        </is>
      </c>
      <c r="C3877" t="inlineStr">
        <is>
          <t>sameer.shaik@osmosys.co</t>
        </is>
      </c>
      <c r="D3877" t="inlineStr">
        <is>
          <t>incident-reporter</t>
        </is>
      </c>
      <c r="E3877">
        <f>HYPERLINK("http://gitlab.osmosys.co/incident-reporter/incident-reporter-api", "OQSHA-API")</f>
        <v/>
      </c>
      <c r="F3877">
        <f>HYPERLINK("http://gitlab.osmosys.co/incident-reporter/incident-reporter-api/-/merge_requests/4330", "fix: issue with not getting next expected status Id")</f>
        <v/>
      </c>
      <c r="G3877" t="inlineStr">
        <is>
          <t>fix/next-expected-status-fix</t>
        </is>
      </c>
      <c r="H3877" t="inlineStr">
        <is>
          <t>sprint-17</t>
        </is>
      </c>
      <c r="I3877" t="inlineStr">
        <is>
          <t>merged</t>
        </is>
      </c>
      <c r="J3877" t="inlineStr"/>
      <c r="K3877" t="inlineStr"/>
      <c r="L3877" t="inlineStr"/>
      <c r="M3877" t="inlineStr"/>
      <c r="N3877" t="inlineStr"/>
      <c r="O3877" t="inlineStr"/>
      <c r="P3877" t="inlineStr"/>
      <c r="Q3877" t="inlineStr"/>
    </row>
    <row r="3878">
      <c r="A3878" t="inlineStr">
        <is>
          <t>sameer</t>
        </is>
      </c>
      <c r="B3878" t="inlineStr">
        <is>
          <t>Sameer Shaik</t>
        </is>
      </c>
      <c r="C3878" t="inlineStr">
        <is>
          <t>sameer.shaik@osmosys.co</t>
        </is>
      </c>
      <c r="D3878" t="inlineStr">
        <is>
          <t>incident-reporter</t>
        </is>
      </c>
      <c r="E3878">
        <f>HYPERLINK("http://gitlab.osmosys.co/incident-reporter/incident-reporter-api", "OQSHA-API")</f>
        <v/>
      </c>
      <c r="F3878">
        <f>HYPERLINK("http://gitlab.osmosys.co/incident-reporter/incident-reporter-api/-/merge_requests/4325", "fix: remove the code to update org record on login")</f>
        <v/>
      </c>
      <c r="G3878" t="inlineStr">
        <is>
          <t>fix/remove-update-org-record-on-login</t>
        </is>
      </c>
      <c r="H3878" t="inlineStr">
        <is>
          <t>sprint-17</t>
        </is>
      </c>
      <c r="I3878" t="inlineStr">
        <is>
          <t>merged</t>
        </is>
      </c>
      <c r="J3878" t="inlineStr"/>
      <c r="K3878" t="inlineStr"/>
      <c r="L3878" t="inlineStr"/>
      <c r="M3878" t="inlineStr"/>
      <c r="N3878" t="inlineStr"/>
      <c r="O3878" t="inlineStr"/>
      <c r="P3878" t="inlineStr"/>
      <c r="Q3878" t="inlineStr"/>
    </row>
    <row r="3879">
      <c r="A3879" t="inlineStr">
        <is>
          <t>sameer</t>
        </is>
      </c>
      <c r="B3879" t="inlineStr">
        <is>
          <t>Sameer Shaik</t>
        </is>
      </c>
      <c r="C3879" t="inlineStr">
        <is>
          <t>sameer.shaik@osmosys.co</t>
        </is>
      </c>
      <c r="D3879" t="inlineStr">
        <is>
          <t>incident-reporter</t>
        </is>
      </c>
      <c r="E3879">
        <f>HYPERLINK("http://gitlab.osmosys.co/incident-reporter/incident-reporter-api", "OQSHA-API")</f>
        <v/>
      </c>
      <c r="F3879">
        <f>HYPERLINK("http://gitlab.osmosys.co/incident-reporter/incident-reporter-api/-/merge_requests/4282", "fix: performance gain in GET PTW List/Export/Heatmap")</f>
        <v/>
      </c>
      <c r="G3879" t="inlineStr">
        <is>
          <t>fix/ptw-get-all-rewrite</t>
        </is>
      </c>
      <c r="H3879" t="inlineStr">
        <is>
          <t>sprint-17</t>
        </is>
      </c>
      <c r="I3879" t="inlineStr">
        <is>
          <t>merged</t>
        </is>
      </c>
      <c r="J3879" t="inlineStr"/>
      <c r="K3879" t="inlineStr"/>
      <c r="L3879" t="inlineStr"/>
      <c r="M3879" t="inlineStr"/>
      <c r="N3879" t="inlineStr"/>
      <c r="O3879" t="inlineStr"/>
      <c r="P3879" t="inlineStr"/>
      <c r="Q3879" t="inlineStr"/>
    </row>
    <row r="3880">
      <c r="A3880" t="inlineStr">
        <is>
          <t>sameer</t>
        </is>
      </c>
      <c r="B3880" t="inlineStr">
        <is>
          <t>Sameer Shaik</t>
        </is>
      </c>
      <c r="C3880" t="inlineStr">
        <is>
          <t>sameer.shaik@osmosys.co</t>
        </is>
      </c>
      <c r="D3880" t="inlineStr">
        <is>
          <t>incident-reporter</t>
        </is>
      </c>
      <c r="E3880">
        <f>HYPERLINK("http://gitlab.osmosys.co/incident-reporter/incident-reporter-api", "OQSHA-API")</f>
        <v/>
      </c>
      <c r="F3880">
        <f>HYPERLINK("http://gitlab.osmosys.co/incident-reporter/incident-reporter-api/-/merge_requests/4187", "fix: performance gain on PTW export")</f>
        <v/>
      </c>
      <c r="G3880" t="inlineStr">
        <is>
          <t>fix/ptw-export-performance-gain</t>
        </is>
      </c>
      <c r="H3880" t="inlineStr">
        <is>
          <t>sprint-16_v2</t>
        </is>
      </c>
      <c r="I3880" t="inlineStr">
        <is>
          <t>merged</t>
        </is>
      </c>
      <c r="J3880" t="inlineStr"/>
      <c r="K3880" t="inlineStr"/>
      <c r="L3880" t="inlineStr"/>
      <c r="M3880" t="inlineStr"/>
      <c r="N3880" t="inlineStr"/>
      <c r="O3880" t="inlineStr"/>
      <c r="P3880" t="inlineStr"/>
      <c r="Q3880" t="inlineStr"/>
    </row>
    <row r="3881">
      <c r="A3881" t="inlineStr">
        <is>
          <t>sameer</t>
        </is>
      </c>
      <c r="B3881" t="inlineStr">
        <is>
          <t>Sameer Shaik</t>
        </is>
      </c>
      <c r="C3881" t="inlineStr">
        <is>
          <t>sameer.shaik@osmosys.co</t>
        </is>
      </c>
      <c r="D3881" t="inlineStr">
        <is>
          <t>incident-reporter</t>
        </is>
      </c>
      <c r="E3881">
        <f>HYPERLINK("http://gitlab.osmosys.co/incident-reporter/incident-reporter-api", "OQSHA-API")</f>
        <v/>
      </c>
      <c r="F3881">
        <f>HYPERLINK("http://gitlab.osmosys.co/incident-reporter/incident-reporter-api/-/merge_requests/4146", "fix: export tickets performance gain")</f>
        <v/>
      </c>
      <c r="G3881" t="inlineStr">
        <is>
          <t>fix/export_tickets_v3</t>
        </is>
      </c>
      <c r="H3881" t="inlineStr">
        <is>
          <t>sprint-16_v2</t>
        </is>
      </c>
      <c r="I3881" t="inlineStr">
        <is>
          <t>merged</t>
        </is>
      </c>
      <c r="J3881" t="inlineStr"/>
      <c r="K3881" t="inlineStr"/>
      <c r="L3881" t="inlineStr"/>
      <c r="M3881" t="inlineStr"/>
      <c r="N3881" t="inlineStr"/>
      <c r="O3881" t="inlineStr"/>
      <c r="P3881" t="inlineStr"/>
      <c r="Q3881" t="inlineStr"/>
    </row>
    <row r="3882">
      <c r="A3882" t="inlineStr">
        <is>
          <t>sameer</t>
        </is>
      </c>
      <c r="B3882" t="inlineStr">
        <is>
          <t>Sameer Shaik</t>
        </is>
      </c>
      <c r="C3882" t="inlineStr">
        <is>
          <t>sameer.shaik@osmosys.co</t>
        </is>
      </c>
      <c r="D3882" t="inlineStr">
        <is>
          <t>osmosys-research-and-development</t>
        </is>
      </c>
      <c r="E3882">
        <f>HYPERLINK("http://gitlab.osmosys.co/osmosys-research-and-development/osmosense", "OsmoSense")</f>
        <v/>
      </c>
      <c r="F3882">
        <f>HYPERLINK("http://gitlab.osmosys.co/osmosys-research-and-development/osmosense/-/merge_requests/51", "Edit docker-compose.yml")</f>
        <v/>
      </c>
      <c r="G3882" t="inlineStr">
        <is>
          <t>sameer-main-patch-93243</t>
        </is>
      </c>
      <c r="H3882" t="inlineStr">
        <is>
          <t>main</t>
        </is>
      </c>
      <c r="I3882" t="inlineStr">
        <is>
          <t>merged</t>
        </is>
      </c>
      <c r="J3882" t="inlineStr"/>
      <c r="K3882" t="inlineStr"/>
      <c r="L3882" t="inlineStr"/>
      <c r="M3882" t="inlineStr"/>
      <c r="N3882" t="inlineStr"/>
      <c r="O3882" t="inlineStr"/>
      <c r="P3882" t="inlineStr"/>
      <c r="Q3882" t="inlineStr"/>
    </row>
    <row r="3883">
      <c r="A3883" t="inlineStr">
        <is>
          <t>sindhusha.b</t>
        </is>
      </c>
      <c r="B3883" t="inlineStr">
        <is>
          <t>Sindhusha</t>
        </is>
      </c>
      <c r="C3883" t="inlineStr">
        <is>
          <t>sindhusha.b@osmosys.co</t>
        </is>
      </c>
      <c r="D3883" t="inlineStr">
        <is>
          <t>incident-reporter</t>
        </is>
      </c>
      <c r="E3883">
        <f>HYPERLINK("http://gitlab.osmosys.co/incident-reporter/incident-reporter-api", "OQSHA-API")</f>
        <v/>
      </c>
      <c r="F3883">
        <f>HYPERLINK("http://gitlab.osmosys.co/incident-reporter/incident-reporter-api/-/merge_requests/4467", "chore: revert "fix: add a fix for PTW user involved data duplication issue"")</f>
        <v/>
      </c>
      <c r="G3883" t="inlineStr">
        <is>
          <t>revert-8bcbf14a</t>
        </is>
      </c>
      <c r="H3883" t="inlineStr">
        <is>
          <t>sprint-18</t>
        </is>
      </c>
      <c r="I3883" t="inlineStr">
        <is>
          <t>merged</t>
        </is>
      </c>
      <c r="J3883" t="inlineStr"/>
      <c r="K3883" t="inlineStr"/>
      <c r="L3883" t="inlineStr"/>
      <c r="M3883" t="inlineStr"/>
      <c r="N3883" t="inlineStr"/>
      <c r="O3883" t="inlineStr"/>
      <c r="P3883" t="inlineStr"/>
      <c r="Q3883" t="inlineStr"/>
    </row>
    <row r="3884">
      <c r="A3884" t="inlineStr">
        <is>
          <t>sindhusha.b</t>
        </is>
      </c>
      <c r="B3884" t="inlineStr">
        <is>
          <t>Sindhusha</t>
        </is>
      </c>
      <c r="C3884" t="inlineStr">
        <is>
          <t>sindhusha.b@osmosys.co</t>
        </is>
      </c>
      <c r="D3884" t="inlineStr">
        <is>
          <t>incident-reporter</t>
        </is>
      </c>
      <c r="E3884">
        <f>HYPERLINK("http://gitlab.osmosys.co/incident-reporter/incident-reporter-api", "OQSHA-API")</f>
        <v/>
      </c>
      <c r="F3884">
        <f>HYPERLINK("http://gitlab.osmosys.co/incident-reporter/incident-reporter-api/-/merge_requests/4458", "chore: revert "feat: add contractor participants to batch"")</f>
        <v/>
      </c>
      <c r="G3884" t="inlineStr">
        <is>
          <t>revert-f9e8df4a</t>
        </is>
      </c>
      <c r="H3884" t="inlineStr">
        <is>
          <t>sprint-18</t>
        </is>
      </c>
      <c r="I3884" t="inlineStr">
        <is>
          <t>merged</t>
        </is>
      </c>
      <c r="J3884" t="inlineStr"/>
      <c r="K3884" t="inlineStr"/>
      <c r="L3884" t="inlineStr"/>
      <c r="M3884" t="inlineStr"/>
      <c r="N3884" t="inlineStr"/>
      <c r="O3884" t="inlineStr"/>
      <c r="P3884" t="inlineStr"/>
      <c r="Q3884" t="inlineStr"/>
    </row>
    <row r="3885">
      <c r="A3885" t="inlineStr">
        <is>
          <t>sindhusha.b</t>
        </is>
      </c>
      <c r="B3885" t="inlineStr">
        <is>
          <t>Sindhusha</t>
        </is>
      </c>
      <c r="C3885" t="inlineStr">
        <is>
          <t>sindhusha.b@osmosys.co</t>
        </is>
      </c>
      <c r="D3885" t="inlineStr">
        <is>
          <t>incident-reporter</t>
        </is>
      </c>
      <c r="E3885">
        <f>HYPERLINK("http://gitlab.osmosys.co/incident-reporter/incident-reporter-api", "OQSHA-API")</f>
        <v/>
      </c>
      <c r="F3885">
        <f>HYPERLINK("http://gitlab.osmosys.co/incident-reporter/incident-reporter-api/-/merge_requests/4360", "chore: revert "fix: update template body and pass required fields for reminders"")</f>
        <v/>
      </c>
      <c r="G3885" t="inlineStr">
        <is>
          <t>revert-52d035b9</t>
        </is>
      </c>
      <c r="H3885" t="inlineStr">
        <is>
          <t>sprint-17</t>
        </is>
      </c>
      <c r="I3885" t="inlineStr">
        <is>
          <t>merged</t>
        </is>
      </c>
      <c r="J3885" t="inlineStr"/>
      <c r="K3885" t="inlineStr"/>
      <c r="L3885" t="inlineStr"/>
      <c r="M3885" t="inlineStr"/>
      <c r="N3885" t="inlineStr"/>
      <c r="O3885" t="inlineStr"/>
      <c r="P3885" t="inlineStr"/>
      <c r="Q3885" t="inlineStr"/>
    </row>
    <row r="3886">
      <c r="A3886" t="inlineStr">
        <is>
          <t>sindhusha.b</t>
        </is>
      </c>
      <c r="B3886" t="inlineStr">
        <is>
          <t>Sindhusha</t>
        </is>
      </c>
      <c r="C3886" t="inlineStr">
        <is>
          <t>sindhusha.b@osmosys.co</t>
        </is>
      </c>
      <c r="D3886" t="inlineStr">
        <is>
          <t>incident-reporter</t>
        </is>
      </c>
      <c r="E3886">
        <f>HYPERLINK("http://gitlab.osmosys.co/incident-reporter/incident-reporter-api", "OQSHA-API")</f>
        <v/>
      </c>
      <c r="F3886">
        <f>HYPERLINK("http://gitlab.osmosys.co/incident-reporter/incident-reporter-api/-/merge_requests/4203", "chore: merge sprint-16 hotfix into main backup")</f>
        <v/>
      </c>
      <c r="G3886" t="inlineStr">
        <is>
          <t>sprint-16_v2</t>
        </is>
      </c>
      <c r="H3886" t="inlineStr">
        <is>
          <t>backup-main</t>
        </is>
      </c>
      <c r="I3886" t="inlineStr">
        <is>
          <t>merged</t>
        </is>
      </c>
      <c r="J3886" t="inlineStr"/>
      <c r="K3886" t="inlineStr"/>
      <c r="L3886" t="inlineStr"/>
      <c r="M3886" t="inlineStr"/>
      <c r="N3886" t="inlineStr"/>
      <c r="O3886" t="inlineStr"/>
      <c r="P3886" t="inlineStr"/>
      <c r="Q3886" t="inlineStr"/>
    </row>
    <row r="3887">
      <c r="A3887" t="inlineStr">
        <is>
          <t>sindhusha.b</t>
        </is>
      </c>
      <c r="B3887" t="inlineStr">
        <is>
          <t>Sindhusha</t>
        </is>
      </c>
      <c r="C3887" t="inlineStr">
        <is>
          <t>sindhusha.b@osmosys.co</t>
        </is>
      </c>
      <c r="D3887" t="inlineStr">
        <is>
          <t>incident-reporter</t>
        </is>
      </c>
      <c r="E3887">
        <f>HYPERLINK("http://gitlab.osmosys.co/incident-reporter/incident-reporter-api", "OQSHA-API")</f>
        <v/>
      </c>
      <c r="F3887">
        <f>HYPERLINK("http://gitlab.osmosys.co/incident-reporter/incident-reporter-api/-/merge_requests/4070", "chore: Merge sprint 16 into sprint-17")</f>
        <v/>
      </c>
      <c r="G3887" t="inlineStr">
        <is>
          <t>sprint-16_v2</t>
        </is>
      </c>
      <c r="H3887" t="inlineStr">
        <is>
          <t>sprint-17</t>
        </is>
      </c>
      <c r="I3887" t="inlineStr">
        <is>
          <t>opened</t>
        </is>
      </c>
      <c r="J3887" t="inlineStr"/>
      <c r="K3887" t="inlineStr"/>
      <c r="L3887" t="inlineStr"/>
      <c r="M3887" t="inlineStr"/>
      <c r="N3887" t="inlineStr"/>
      <c r="O3887" t="inlineStr"/>
      <c r="P3887" t="inlineStr"/>
      <c r="Q3887" t="inlineStr"/>
    </row>
    <row r="3888">
      <c r="A3888" t="inlineStr">
        <is>
          <t>sindhusha.b</t>
        </is>
      </c>
      <c r="B3888" t="inlineStr">
        <is>
          <t>Sindhusha</t>
        </is>
      </c>
      <c r="C3888" t="inlineStr">
        <is>
          <t>sindhusha.b@osmosys.co</t>
        </is>
      </c>
      <c r="D3888" t="inlineStr">
        <is>
          <t>incident-reporter</t>
        </is>
      </c>
      <c r="E3888">
        <f>HYPERLINK("http://gitlab.osmosys.co/incident-reporter/incident-reporter-api", "OQSHA-API")</f>
        <v/>
      </c>
      <c r="F3888">
        <f>HYPERLINK("http://gitlab.osmosys.co/incident-reporter/incident-reporter-api/-/merge_requests/4050", "chore: merge sprint 16 v2 into sprint 17")</f>
        <v/>
      </c>
      <c r="G3888" t="inlineStr">
        <is>
          <t>sprint-16_v2</t>
        </is>
      </c>
      <c r="H3888" t="inlineStr">
        <is>
          <t>sprint-17</t>
        </is>
      </c>
      <c r="I3888" t="inlineStr">
        <is>
          <t>merged</t>
        </is>
      </c>
      <c r="J3888" t="inlineStr"/>
      <c r="K3888" t="inlineStr"/>
      <c r="L3888" t="inlineStr"/>
      <c r="M3888" t="inlineStr"/>
      <c r="N3888" t="inlineStr"/>
      <c r="O3888" t="inlineStr"/>
      <c r="P3888" t="inlineStr"/>
      <c r="Q3888" t="inlineStr"/>
    </row>
    <row r="3889">
      <c r="A3889" t="inlineStr">
        <is>
          <t>RajKumar</t>
        </is>
      </c>
      <c r="B3889" t="inlineStr">
        <is>
          <t>Raj Kumar</t>
        </is>
      </c>
      <c r="C3889" t="inlineStr">
        <is>
          <t>rajkumar.p@osmosys.co</t>
        </is>
      </c>
      <c r="D3889" t="inlineStr">
        <is>
          <t>incident-reporter</t>
        </is>
      </c>
      <c r="E3889">
        <f>HYPERLINK("http://gitlab.osmosys.co/incident-reporter/incident-reporter-angular-portal", "OQSHA Portal")</f>
        <v/>
      </c>
      <c r="F3889">
        <f>HYPERLINK("http://gitlab.osmosys.co/incident-reporter/incident-reporter-angular-portal/-/merge_requests/3690", "Merge sprint-18 into sprint-19")</f>
        <v/>
      </c>
      <c r="G3889" t="inlineStr">
        <is>
          <t>sprint-18</t>
        </is>
      </c>
      <c r="H3889" t="inlineStr">
        <is>
          <t>sprint-19</t>
        </is>
      </c>
      <c r="I3889" t="inlineStr">
        <is>
          <t>merged</t>
        </is>
      </c>
      <c r="J3889" t="inlineStr"/>
      <c r="K3889" t="inlineStr"/>
      <c r="L3889" t="inlineStr"/>
      <c r="M3889" t="inlineStr"/>
      <c r="N3889" t="inlineStr"/>
      <c r="O3889" t="inlineStr"/>
      <c r="P3889" t="inlineStr"/>
      <c r="Q3889" t="inlineStr"/>
    </row>
    <row r="3890">
      <c r="A3890" t="inlineStr">
        <is>
          <t>RajKumar</t>
        </is>
      </c>
      <c r="B3890" t="inlineStr">
        <is>
          <t>Raj Kumar</t>
        </is>
      </c>
      <c r="C3890" t="inlineStr">
        <is>
          <t>rajkumar.p@osmosys.co</t>
        </is>
      </c>
      <c r="D3890" t="inlineStr">
        <is>
          <t>incident-reporter</t>
        </is>
      </c>
      <c r="E3890">
        <f>HYPERLINK("http://gitlab.osmosys.co/incident-reporter/incident-reporter-angular-portal", "OQSHA Portal")</f>
        <v/>
      </c>
      <c r="F3890">
        <f>HYPERLINK("http://gitlab.osmosys.co/incident-reporter/incident-reporter-angular-portal/-/merge_requests/3597", "fix: add improvements in tickets grid")</f>
        <v/>
      </c>
      <c r="G3890" t="inlineStr">
        <is>
          <t>sprint-17</t>
        </is>
      </c>
      <c r="H3890" t="inlineStr">
        <is>
          <t>sprint-18</t>
        </is>
      </c>
      <c r="I3890" t="inlineStr">
        <is>
          <t>opened</t>
        </is>
      </c>
      <c r="J3890" t="inlineStr"/>
      <c r="K3890" t="inlineStr"/>
      <c r="L3890" t="inlineStr"/>
      <c r="M3890" t="inlineStr"/>
      <c r="N3890" t="inlineStr"/>
      <c r="O3890" t="inlineStr"/>
      <c r="P3890" t="inlineStr"/>
      <c r="Q3890" t="inlineStr"/>
    </row>
    <row r="3891">
      <c r="A3891" t="inlineStr">
        <is>
          <t>RajKumar</t>
        </is>
      </c>
      <c r="B3891" t="inlineStr">
        <is>
          <t>Raj Kumar</t>
        </is>
      </c>
      <c r="C3891" t="inlineStr">
        <is>
          <t>rajkumar.p@osmosys.co</t>
        </is>
      </c>
      <c r="D3891" t="inlineStr">
        <is>
          <t>incident-reporter</t>
        </is>
      </c>
      <c r="E3891">
        <f>HYPERLINK("http://gitlab.osmosys.co/incident-reporter/incident-reporter-angular-portal", "OQSHA Portal")</f>
        <v/>
      </c>
      <c r="F3891">
        <f>HYPERLINK("http://gitlab.osmosys.co/incident-reporter/incident-reporter-angular-portal/-/merge_requests/3591", "merge: sprint-17 into sprint-18")</f>
        <v/>
      </c>
      <c r="G3891" t="inlineStr">
        <is>
          <t>sprint-17</t>
        </is>
      </c>
      <c r="H3891" t="inlineStr">
        <is>
          <t>sprint-18</t>
        </is>
      </c>
      <c r="I3891" t="inlineStr">
        <is>
          <t>merged</t>
        </is>
      </c>
      <c r="J3891" t="inlineStr"/>
      <c r="K3891" t="inlineStr"/>
      <c r="L3891" t="inlineStr"/>
      <c r="M3891" t="inlineStr"/>
      <c r="N3891" t="inlineStr"/>
      <c r="O3891" t="inlineStr"/>
      <c r="P3891" t="inlineStr"/>
      <c r="Q3891" t="inlineStr"/>
    </row>
    <row r="3892">
      <c r="A3892" t="inlineStr">
        <is>
          <t>RajKumar</t>
        </is>
      </c>
      <c r="B3892" t="inlineStr">
        <is>
          <t>Raj Kumar</t>
        </is>
      </c>
      <c r="C3892" t="inlineStr">
        <is>
          <t>rajkumar.p@osmosys.co</t>
        </is>
      </c>
      <c r="D3892" t="inlineStr">
        <is>
          <t>incident-reporter</t>
        </is>
      </c>
      <c r="E3892">
        <f>HYPERLINK("http://gitlab.osmosys.co/incident-reporter/incident-reporter-angular-portal", "OQSHA Portal")</f>
        <v/>
      </c>
      <c r="F3892">
        <f>HYPERLINK("http://gitlab.osmosys.co/incident-reporter/incident-reporter-angular-portal/-/merge_requests/3469", "Merge sprint-16 into sprint-17")</f>
        <v/>
      </c>
      <c r="G3892" t="inlineStr">
        <is>
          <t>sprint-16</t>
        </is>
      </c>
      <c r="H3892" t="inlineStr">
        <is>
          <t>sprint-17</t>
        </is>
      </c>
      <c r="I3892" t="inlineStr">
        <is>
          <t>merged</t>
        </is>
      </c>
      <c r="J3892" t="inlineStr"/>
      <c r="K3892" t="inlineStr"/>
      <c r="L3892" t="inlineStr"/>
      <c r="M3892" t="inlineStr"/>
      <c r="N3892" t="inlineStr"/>
      <c r="O3892" t="inlineStr"/>
      <c r="P3892" t="inlineStr"/>
      <c r="Q3892" t="inlineStr"/>
    </row>
    <row r="3893">
      <c r="A3893" t="inlineStr">
        <is>
          <t>RajKumar</t>
        </is>
      </c>
      <c r="B3893" t="inlineStr">
        <is>
          <t>Raj Kumar</t>
        </is>
      </c>
      <c r="C3893" t="inlineStr">
        <is>
          <t>rajkumar.p@osmosys.co</t>
        </is>
      </c>
      <c r="D3893" t="inlineStr">
        <is>
          <t>incident-reporter</t>
        </is>
      </c>
      <c r="E3893">
        <f>HYPERLINK("http://gitlab.osmosys.co/incident-reporter/incident-reporter-angular-portal", "OQSHA Portal")</f>
        <v/>
      </c>
      <c r="F3893">
        <f>HYPERLINK("http://gitlab.osmosys.co/incident-reporter/incident-reporter-angular-portal/-/merge_requests/3467", "Merge sprint-16 into sprint-17")</f>
        <v/>
      </c>
      <c r="G3893" t="inlineStr">
        <is>
          <t>sprint-16</t>
        </is>
      </c>
      <c r="H3893" t="inlineStr">
        <is>
          <t>sprint-17</t>
        </is>
      </c>
      <c r="I3893" t="inlineStr">
        <is>
          <t>merged</t>
        </is>
      </c>
      <c r="J3893" t="inlineStr"/>
      <c r="K3893" t="inlineStr"/>
      <c r="L3893" t="inlineStr"/>
      <c r="M3893" t="inlineStr"/>
      <c r="N3893" t="inlineStr"/>
      <c r="O3893" t="inlineStr"/>
      <c r="P3893" t="inlineStr"/>
      <c r="Q3893" t="inlineStr"/>
    </row>
    <row r="3894">
      <c r="A3894" t="inlineStr">
        <is>
          <t>RajKumar</t>
        </is>
      </c>
      <c r="B3894" t="inlineStr">
        <is>
          <t>Raj Kumar</t>
        </is>
      </c>
      <c r="C3894" t="inlineStr">
        <is>
          <t>rajkumar.p@osmosys.co</t>
        </is>
      </c>
      <c r="D3894" t="inlineStr">
        <is>
          <t>incident-reporter</t>
        </is>
      </c>
      <c r="E3894">
        <f>HYPERLINK("http://gitlab.osmosys.co/incident-reporter/incident-reporter-angular-portal", "OQSHA Portal")</f>
        <v/>
      </c>
      <c r="F3894">
        <f>HYPERLINK("http://gitlab.osmosys.co/incident-reporter/incident-reporter-angular-portal/-/merge_requests/3448", "Merge sprint-16 into sprint-17")</f>
        <v/>
      </c>
      <c r="G3894" t="inlineStr">
        <is>
          <t>sprint-16</t>
        </is>
      </c>
      <c r="H3894" t="inlineStr">
        <is>
          <t>sprint-17</t>
        </is>
      </c>
      <c r="I3894" t="inlineStr">
        <is>
          <t>merged</t>
        </is>
      </c>
      <c r="J3894" t="inlineStr"/>
      <c r="K3894" t="inlineStr"/>
      <c r="L3894" t="inlineStr"/>
      <c r="M3894" t="inlineStr"/>
      <c r="N3894" t="inlineStr"/>
      <c r="O3894" t="inlineStr"/>
      <c r="P3894" t="inlineStr"/>
      <c r="Q3894" t="inlineStr"/>
    </row>
    <row r="3895">
      <c r="A3895" t="inlineStr">
        <is>
          <t>RajKumar</t>
        </is>
      </c>
      <c r="B3895" t="inlineStr">
        <is>
          <t>Raj Kumar</t>
        </is>
      </c>
      <c r="C3895" t="inlineStr">
        <is>
          <t>rajkumar.p@osmosys.co</t>
        </is>
      </c>
      <c r="D3895" t="inlineStr">
        <is>
          <t>incident-reporter</t>
        </is>
      </c>
      <c r="E3895">
        <f>HYPERLINK("http://gitlab.osmosys.co/incident-reporter/incident-reporter-angular-portal", "OQSHA Portal")</f>
        <v/>
      </c>
      <c r="F3895">
        <f>HYPERLINK("http://gitlab.osmosys.co/incident-reporter/incident-reporter-angular-portal/-/merge_requests/3433", "merge sprint-16 into sprint-17")</f>
        <v/>
      </c>
      <c r="G3895" t="inlineStr">
        <is>
          <t>sprint-16</t>
        </is>
      </c>
      <c r="H3895" t="inlineStr">
        <is>
          <t>sprint-17</t>
        </is>
      </c>
      <c r="I3895" t="inlineStr">
        <is>
          <t>merged</t>
        </is>
      </c>
      <c r="J3895" t="inlineStr"/>
      <c r="K3895" t="inlineStr"/>
      <c r="L3895" t="inlineStr"/>
      <c r="M3895" t="inlineStr"/>
      <c r="N3895" t="inlineStr"/>
      <c r="O3895" t="inlineStr"/>
      <c r="P3895" t="inlineStr"/>
      <c r="Q3895" t="inlineStr"/>
    </row>
    <row r="3896">
      <c r="A3896" t="inlineStr">
        <is>
          <t>RajKumar</t>
        </is>
      </c>
      <c r="B3896" t="inlineStr">
        <is>
          <t>Raj Kumar</t>
        </is>
      </c>
      <c r="C3896" t="inlineStr">
        <is>
          <t>rajkumar.p@osmosys.co</t>
        </is>
      </c>
      <c r="D3896" t="inlineStr">
        <is>
          <t>incident-reporter</t>
        </is>
      </c>
      <c r="E3896">
        <f>HYPERLINK("http://gitlab.osmosys.co/incident-reporter/incident-reporter-angular-portal", "OQSHA Portal")</f>
        <v/>
      </c>
      <c r="F3896">
        <f>HYPERLINK("http://gitlab.osmosys.co/incident-reporter/incident-reporter-angular-portal/-/merge_requests/3406", "merge sprint-16 into sprint-17")</f>
        <v/>
      </c>
      <c r="G3896" t="inlineStr">
        <is>
          <t>sprint-16</t>
        </is>
      </c>
      <c r="H3896" t="inlineStr">
        <is>
          <t>sprint-17</t>
        </is>
      </c>
      <c r="I3896" t="inlineStr">
        <is>
          <t>merged</t>
        </is>
      </c>
      <c r="J3896" t="inlineStr"/>
      <c r="K3896" t="inlineStr"/>
      <c r="L3896" t="inlineStr"/>
      <c r="M3896" t="inlineStr"/>
      <c r="N3896" t="inlineStr"/>
      <c r="O3896" t="inlineStr"/>
      <c r="P3896" t="inlineStr"/>
      <c r="Q3896" t="inlineStr"/>
    </row>
    <row r="3897">
      <c r="A3897" t="inlineStr">
        <is>
          <t>RajKumar</t>
        </is>
      </c>
      <c r="B3897" t="inlineStr">
        <is>
          <t>Raj Kumar</t>
        </is>
      </c>
      <c r="C3897" t="inlineStr">
        <is>
          <t>rajkumar.p@osmosys.co</t>
        </is>
      </c>
      <c r="D3897" t="inlineStr">
        <is>
          <t>incident-reporter</t>
        </is>
      </c>
      <c r="E3897">
        <f>HYPERLINK("http://gitlab.osmosys.co/incident-reporter/incident-reporter-angular-portal", "OQSHA Portal")</f>
        <v/>
      </c>
      <c r="F3897">
        <f>HYPERLINK("http://gitlab.osmosys.co/incident-reporter/incident-reporter-angular-portal/-/merge_requests/3379", "merge: sprint-16 into sprint-17")</f>
        <v/>
      </c>
      <c r="G3897" t="inlineStr">
        <is>
          <t>sprint-16</t>
        </is>
      </c>
      <c r="H3897" t="inlineStr">
        <is>
          <t>sprint-17</t>
        </is>
      </c>
      <c r="I3897" t="inlineStr">
        <is>
          <t>merged</t>
        </is>
      </c>
      <c r="J3897" t="inlineStr"/>
      <c r="K3897" t="inlineStr"/>
      <c r="L3897" t="inlineStr"/>
      <c r="M3897" t="inlineStr"/>
      <c r="N3897" t="inlineStr"/>
      <c r="O3897" t="inlineStr"/>
      <c r="P3897" t="inlineStr"/>
      <c r="Q3897" t="inlineStr"/>
    </row>
    <row r="3898">
      <c r="A3898" t="inlineStr">
        <is>
          <t>RajKumar</t>
        </is>
      </c>
      <c r="B3898" t="inlineStr">
        <is>
          <t>Raj Kumar</t>
        </is>
      </c>
      <c r="C3898" t="inlineStr">
        <is>
          <t>rajkumar.p@osmosys.co</t>
        </is>
      </c>
      <c r="D3898" t="inlineStr">
        <is>
          <t>incident-reporter</t>
        </is>
      </c>
      <c r="E3898">
        <f>HYPERLINK("http://gitlab.osmosys.co/incident-reporter/incident-reporter-app", "OQSHA Mobile App")</f>
        <v/>
      </c>
      <c r="F3898">
        <f>HYPERLINK("http://gitlab.osmosys.co/incident-reporter/incident-reporter-app/-/merge_requests/1861", "chore: version bump")</f>
        <v/>
      </c>
      <c r="G3898" t="inlineStr">
        <is>
          <t>sprint-18</t>
        </is>
      </c>
      <c r="H3898" t="inlineStr">
        <is>
          <t>sprint-19</t>
        </is>
      </c>
      <c r="I3898" t="inlineStr">
        <is>
          <t>merged</t>
        </is>
      </c>
      <c r="J3898" t="inlineStr"/>
      <c r="K3898" t="inlineStr"/>
      <c r="L3898" t="inlineStr"/>
      <c r="M3898" t="inlineStr"/>
      <c r="N3898" t="inlineStr"/>
      <c r="O3898" t="inlineStr"/>
      <c r="P3898" t="inlineStr"/>
      <c r="Q3898" t="inlineStr"/>
    </row>
    <row r="3899">
      <c r="A3899" t="inlineStr">
        <is>
          <t>RajKumar</t>
        </is>
      </c>
      <c r="B3899" t="inlineStr">
        <is>
          <t>Raj Kumar</t>
        </is>
      </c>
      <c r="C3899" t="inlineStr">
        <is>
          <t>rajkumar.p@osmosys.co</t>
        </is>
      </c>
      <c r="D3899" t="inlineStr">
        <is>
          <t>incident-reporter</t>
        </is>
      </c>
      <c r="E3899">
        <f>HYPERLINK("http://gitlab.osmosys.co/incident-reporter/incident-reporter-app", "OQSHA Mobile App")</f>
        <v/>
      </c>
      <c r="F3899">
        <f>HYPERLINK("http://gitlab.osmosys.co/incident-reporter/incident-reporter-app/-/merge_requests/1826", "merge: sprint-17 into sprint-18")</f>
        <v/>
      </c>
      <c r="G3899" t="inlineStr">
        <is>
          <t>sprint-17</t>
        </is>
      </c>
      <c r="H3899" t="inlineStr">
        <is>
          <t>sprint-18</t>
        </is>
      </c>
      <c r="I3899" t="inlineStr">
        <is>
          <t>merged</t>
        </is>
      </c>
      <c r="J3899" t="inlineStr"/>
      <c r="K3899" t="inlineStr"/>
      <c r="L3899" t="inlineStr"/>
      <c r="M3899" t="inlineStr"/>
      <c r="N3899" t="inlineStr"/>
      <c r="O3899" t="inlineStr"/>
      <c r="P3899" t="inlineStr"/>
      <c r="Q3899" t="inlineStr"/>
    </row>
    <row r="3900">
      <c r="A3900" t="inlineStr">
        <is>
          <t>RajKumar</t>
        </is>
      </c>
      <c r="B3900" t="inlineStr">
        <is>
          <t>Raj Kumar</t>
        </is>
      </c>
      <c r="C3900" t="inlineStr">
        <is>
          <t>rajkumar.p@osmosys.co</t>
        </is>
      </c>
      <c r="D3900" t="inlineStr">
        <is>
          <t>incident-reporter</t>
        </is>
      </c>
      <c r="E3900">
        <f>HYPERLINK("http://gitlab.osmosys.co/incident-reporter/incident-reporter-app", "OQSHA Mobile App")</f>
        <v/>
      </c>
      <c r="F3900">
        <f>HYPERLINK("http://gitlab.osmosys.co/incident-reporter/incident-reporter-app/-/merge_requests/1783", "Merge sprint-16 into sprint-17")</f>
        <v/>
      </c>
      <c r="G3900" t="inlineStr">
        <is>
          <t>sprint-16</t>
        </is>
      </c>
      <c r="H3900" t="inlineStr">
        <is>
          <t>sprint-17</t>
        </is>
      </c>
      <c r="I3900" t="inlineStr">
        <is>
          <t>merged</t>
        </is>
      </c>
      <c r="J3900" t="inlineStr"/>
      <c r="K3900" t="inlineStr"/>
      <c r="L3900" t="inlineStr"/>
      <c r="M3900" t="inlineStr"/>
      <c r="N3900" t="inlineStr"/>
      <c r="O3900" t="inlineStr"/>
      <c r="P3900" t="inlineStr"/>
      <c r="Q3900" t="inlineStr"/>
    </row>
    <row r="3901">
      <c r="A3901" t="inlineStr">
        <is>
          <t>RajKumar</t>
        </is>
      </c>
      <c r="B3901" t="inlineStr">
        <is>
          <t>Raj Kumar</t>
        </is>
      </c>
      <c r="C3901" t="inlineStr">
        <is>
          <t>rajkumar.p@osmosys.co</t>
        </is>
      </c>
      <c r="D3901" t="inlineStr">
        <is>
          <t>incident-reporter</t>
        </is>
      </c>
      <c r="E3901">
        <f>HYPERLINK("http://gitlab.osmosys.co/incident-reporter/incident-reporter-app", "OQSHA Mobile App")</f>
        <v/>
      </c>
      <c r="F3901">
        <f>HYPERLINK("http://gitlab.osmosys.co/incident-reporter/incident-reporter-app/-/merge_requests/1771", "merge: sprint-16 into sprint-17")</f>
        <v/>
      </c>
      <c r="G3901" t="inlineStr">
        <is>
          <t>sprint-16</t>
        </is>
      </c>
      <c r="H3901" t="inlineStr">
        <is>
          <t>sprint-17</t>
        </is>
      </c>
      <c r="I3901" t="inlineStr">
        <is>
          <t>merged</t>
        </is>
      </c>
      <c r="J3901" t="inlineStr"/>
      <c r="K3901" t="inlineStr"/>
      <c r="L3901" t="inlineStr"/>
      <c r="M3901" t="inlineStr"/>
      <c r="N3901" t="inlineStr"/>
      <c r="O3901" t="inlineStr"/>
      <c r="P3901" t="inlineStr"/>
      <c r="Q3901" t="inlineStr"/>
    </row>
    <row r="3902">
      <c r="A3902" t="inlineStr">
        <is>
          <t>RajKumar</t>
        </is>
      </c>
      <c r="B3902" t="inlineStr">
        <is>
          <t>Raj Kumar</t>
        </is>
      </c>
      <c r="C3902" t="inlineStr">
        <is>
          <t>rajkumar.p@osmosys.co</t>
        </is>
      </c>
      <c r="D3902" t="inlineStr">
        <is>
          <t>incident-reporter</t>
        </is>
      </c>
      <c r="E3902">
        <f>HYPERLINK("http://gitlab.osmosys.co/incident-reporter/incident-reporter-app", "OQSHA Mobile App")</f>
        <v/>
      </c>
      <c r="F3902">
        <f>HYPERLINK("http://gitlab.osmosys.co/incident-reporter/incident-reporter-app/-/merge_requests/1752", "merge: sprint-16 into sprint-17")</f>
        <v/>
      </c>
      <c r="G3902" t="inlineStr">
        <is>
          <t>sprint-16</t>
        </is>
      </c>
      <c r="H3902" t="inlineStr">
        <is>
          <t>sprint-17</t>
        </is>
      </c>
      <c r="I3902" t="inlineStr">
        <is>
          <t>merged</t>
        </is>
      </c>
      <c r="J3902" t="inlineStr"/>
      <c r="K3902" t="inlineStr"/>
      <c r="L3902" t="inlineStr"/>
      <c r="M3902" t="inlineStr"/>
      <c r="N3902" t="inlineStr"/>
      <c r="O3902" t="inlineStr"/>
      <c r="P3902" t="inlineStr"/>
      <c r="Q3902" t="inlineStr"/>
    </row>
    <row r="3903">
      <c r="A3903" t="inlineStr">
        <is>
          <t>RajKumar</t>
        </is>
      </c>
      <c r="B3903" t="inlineStr">
        <is>
          <t>Raj Kumar</t>
        </is>
      </c>
      <c r="C3903" t="inlineStr">
        <is>
          <t>rajkumar.p@osmosys.co</t>
        </is>
      </c>
      <c r="D3903" t="inlineStr">
        <is>
          <t>incident-reporter</t>
        </is>
      </c>
      <c r="E3903">
        <f>HYPERLINK("http://gitlab.osmosys.co/incident-reporter/incident-reporter-app", "OQSHA Mobile App")</f>
        <v/>
      </c>
      <c r="F3903">
        <f>HYPERLINK("http://gitlab.osmosys.co/incident-reporter/incident-reporter-app/-/merge_requests/1741", "merge: sprint-16 into sprint-17")</f>
        <v/>
      </c>
      <c r="G3903" t="inlineStr">
        <is>
          <t>sprint-16</t>
        </is>
      </c>
      <c r="H3903" t="inlineStr">
        <is>
          <t>sprint-17</t>
        </is>
      </c>
      <c r="I3903" t="inlineStr">
        <is>
          <t>merged</t>
        </is>
      </c>
      <c r="J3903" t="inlineStr"/>
      <c r="K3903" t="inlineStr"/>
      <c r="L3903" t="inlineStr"/>
      <c r="M3903" t="inlineStr"/>
      <c r="N3903" t="inlineStr"/>
      <c r="O3903" t="inlineStr"/>
      <c r="P3903" t="inlineStr"/>
      <c r="Q3903" t="inlineStr"/>
    </row>
    <row r="3904">
      <c r="A3904" t="inlineStr">
        <is>
          <t>vishnu.k</t>
        </is>
      </c>
      <c r="B3904" t="inlineStr">
        <is>
          <t>Vishnu</t>
        </is>
      </c>
      <c r="C3904" t="inlineStr">
        <is>
          <t>vishnu.k@osmosys.co</t>
        </is>
      </c>
      <c r="D3904" t="inlineStr">
        <is>
          <t>osmosys-research-and-development/utilities</t>
        </is>
      </c>
      <c r="E3904">
        <f>HYPERLINK("http://gitlab.osmosys.co/osmosys-research-and-development/utilities/mock-interviews", "mock-interviews")</f>
        <v/>
      </c>
      <c r="F3904">
        <f>HYPERLINK("http://gitlab.osmosys.co/osmosys-research-and-development/utilities/mock-interviews/-/merge_requests/1", "fix: configure OAuth and sessions for production HTTPS environment")</f>
        <v/>
      </c>
      <c r="G3904" t="inlineStr">
        <is>
          <t>feat/domain-azure-login</t>
        </is>
      </c>
      <c r="H3904" t="inlineStr">
        <is>
          <t>main</t>
        </is>
      </c>
      <c r="I3904" t="inlineStr">
        <is>
          <t>merged</t>
        </is>
      </c>
      <c r="J3904" t="inlineStr"/>
      <c r="K3904" t="inlineStr"/>
      <c r="L3904" t="inlineStr"/>
      <c r="M3904" t="inlineStr"/>
      <c r="N3904" t="inlineStr"/>
      <c r="O3904" t="inlineStr"/>
      <c r="P3904" t="inlineStr"/>
      <c r="Q3904" t="inlineStr"/>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L78"/>
  <sheetViews>
    <sheetView workbookViewId="0">
      <selection activeCell="A1" sqref="A1"/>
    </sheetView>
  </sheetViews>
  <sheetFormatPr baseColWidth="8" defaultRowHeight="15"/>
  <sheetData>
    <row r="1">
      <c r="A1" s="2" t="inlineStr">
        <is>
          <t>Employee Name</t>
        </is>
      </c>
      <c r="B1" s="2" t="inlineStr">
        <is>
          <t>Employee Email</t>
        </is>
      </c>
      <c r="C1" s="2" t="inlineStr">
        <is>
          <t>Submitted PRs</t>
        </is>
      </c>
      <c r="D1" s="2" t="inlineStr">
        <is>
          <t>Merged PRs</t>
        </is>
      </c>
      <c r="E1" s="2" t="inlineStr">
        <is>
          <t>Open PRs</t>
        </is>
      </c>
      <c r="F1" s="2" t="inlineStr">
        <is>
          <t>Closed PRs</t>
        </is>
      </c>
      <c r="G1" s="2" t="inlineStr">
        <is>
          <t>No. of Reviewer Comments</t>
        </is>
      </c>
      <c r="H1" s="2" t="inlineStr">
        <is>
          <t>No. of Threads</t>
        </is>
      </c>
      <c r="I1" s="2" t="inlineStr">
        <is>
          <t>Avg. No. of Comments</t>
        </is>
      </c>
      <c r="J1" s="2" t="inlineStr">
        <is>
          <t>Good Count</t>
        </is>
      </c>
      <c r="K1" s="2" t="inlineStr">
        <is>
          <t>Bad Count</t>
        </is>
      </c>
      <c r="L1" s="2" t="inlineStr">
        <is>
          <t>Neutral Count</t>
        </is>
      </c>
    </row>
    <row r="2">
      <c r="A2" t="inlineStr">
        <is>
          <t>talking-buddy-app</t>
        </is>
      </c>
      <c r="B2" t="inlineStr">
        <is>
          <t>group_1410_bot_5a8c9e0f9fc5a5fa5991bc081b0e9711@noreply.gitlab.osmosys.co</t>
        </is>
      </c>
      <c r="C2" t="n">
        <v>0</v>
      </c>
      <c r="D2" t="n">
        <v>0</v>
      </c>
      <c r="E2" t="n">
        <v>0</v>
      </c>
      <c r="F2" t="n">
        <v>0</v>
      </c>
      <c r="G2" t="n">
        <v>0</v>
      </c>
      <c r="H2" t="n">
        <v>0</v>
      </c>
      <c r="I2" t="n">
        <v>0</v>
      </c>
      <c r="J2" t="n">
        <v>0</v>
      </c>
      <c r="K2" t="n">
        <v>0</v>
      </c>
      <c r="L2" t="n">
        <v>0</v>
      </c>
    </row>
    <row r="3">
      <c r="A3" t="inlineStr">
        <is>
          <t>ci-deploy-token</t>
        </is>
      </c>
      <c r="B3" t="inlineStr">
        <is>
          <t>project_1673_bot_079d8aa83df6d533b4a54eef4272123b@noreply.gitlab.osmosys.co</t>
        </is>
      </c>
      <c r="C3" t="n">
        <v>0</v>
      </c>
      <c r="D3" t="n">
        <v>0</v>
      </c>
      <c r="E3" t="n">
        <v>0</v>
      </c>
      <c r="F3" t="n">
        <v>0</v>
      </c>
      <c r="G3" t="n">
        <v>0</v>
      </c>
      <c r="H3" t="n">
        <v>0</v>
      </c>
      <c r="I3" t="n">
        <v>0</v>
      </c>
      <c r="J3" t="n">
        <v>0</v>
      </c>
      <c r="K3" t="n">
        <v>0</v>
      </c>
      <c r="L3" t="n">
        <v>0</v>
      </c>
    </row>
    <row r="4">
      <c r="A4" t="inlineStr">
        <is>
          <t>Sehajdeep Singh</t>
        </is>
      </c>
      <c r="B4" t="inlineStr">
        <is>
          <t>sehajdeep.s@osmosys.co</t>
        </is>
      </c>
      <c r="C4" t="n">
        <v>0</v>
      </c>
      <c r="D4" t="n">
        <v>0</v>
      </c>
      <c r="E4" t="n">
        <v>0</v>
      </c>
      <c r="F4" t="n">
        <v>0</v>
      </c>
      <c r="G4" t="n">
        <v>0</v>
      </c>
      <c r="H4" t="n">
        <v>0</v>
      </c>
      <c r="I4" t="n">
        <v>0</v>
      </c>
      <c r="J4" t="n">
        <v>0</v>
      </c>
      <c r="K4" t="n">
        <v>0</v>
      </c>
      <c r="L4" t="n">
        <v>0</v>
      </c>
    </row>
    <row r="5">
      <c r="A5" t="inlineStr">
        <is>
          <t>Suman Adhikari</t>
        </is>
      </c>
      <c r="B5" t="inlineStr">
        <is>
          <t>suman.a@osmosys.co</t>
        </is>
      </c>
      <c r="C5" t="n">
        <v>0</v>
      </c>
      <c r="D5" t="n">
        <v>0</v>
      </c>
      <c r="E5" t="n">
        <v>0</v>
      </c>
      <c r="F5" t="n">
        <v>0</v>
      </c>
      <c r="G5" t="n">
        <v>0</v>
      </c>
      <c r="H5" t="n">
        <v>0</v>
      </c>
      <c r="I5" t="n">
        <v>0</v>
      </c>
      <c r="J5" t="n">
        <v>0</v>
      </c>
      <c r="K5" t="n">
        <v>0</v>
      </c>
      <c r="L5" t="n">
        <v>0</v>
      </c>
    </row>
    <row r="6">
      <c r="A6" t="inlineStr">
        <is>
          <t>Jayani Sehgal</t>
        </is>
      </c>
      <c r="B6" t="inlineStr">
        <is>
          <t>jayani.s@osmosys.co</t>
        </is>
      </c>
      <c r="C6" t="n">
        <v>15</v>
      </c>
      <c r="D6" t="n">
        <v>0</v>
      </c>
      <c r="E6" t="n">
        <v>15</v>
      </c>
      <c r="F6" t="n">
        <v>0</v>
      </c>
      <c r="G6" t="n">
        <v>0</v>
      </c>
      <c r="H6" t="n">
        <v>0</v>
      </c>
      <c r="I6" t="n">
        <v>0</v>
      </c>
      <c r="J6" t="n">
        <v>0</v>
      </c>
      <c r="K6" t="n">
        <v>0</v>
      </c>
      <c r="L6" t="n">
        <v>0</v>
      </c>
    </row>
    <row r="7">
      <c r="A7" t="inlineStr">
        <is>
          <t>Jyoti Singh</t>
        </is>
      </c>
      <c r="B7" t="inlineStr">
        <is>
          <t>jyoti.s@osmosys.co</t>
        </is>
      </c>
      <c r="C7" t="n">
        <v>11</v>
      </c>
      <c r="D7" t="n">
        <v>2</v>
      </c>
      <c r="E7" t="n">
        <v>9</v>
      </c>
      <c r="F7" t="n">
        <v>0</v>
      </c>
      <c r="G7" t="n">
        <v>0</v>
      </c>
      <c r="H7" t="n">
        <v>1</v>
      </c>
      <c r="I7" t="n">
        <v>0</v>
      </c>
      <c r="J7" t="n">
        <v>0</v>
      </c>
      <c r="K7" t="n">
        <v>0</v>
      </c>
      <c r="L7" t="n">
        <v>1</v>
      </c>
    </row>
    <row r="8">
      <c r="A8" t="inlineStr">
        <is>
          <t>Jeevanshu Goel</t>
        </is>
      </c>
      <c r="B8" t="inlineStr">
        <is>
          <t>jeevanshu.g@osmosys.co</t>
        </is>
      </c>
      <c r="C8" t="n">
        <v>0</v>
      </c>
      <c r="D8" t="n">
        <v>0</v>
      </c>
      <c r="E8" t="n">
        <v>0</v>
      </c>
      <c r="F8" t="n">
        <v>0</v>
      </c>
      <c r="G8" t="n">
        <v>0</v>
      </c>
      <c r="H8" t="n">
        <v>0</v>
      </c>
      <c r="I8" t="n">
        <v>0</v>
      </c>
      <c r="J8" t="n">
        <v>0</v>
      </c>
      <c r="K8" t="n">
        <v>0</v>
      </c>
      <c r="L8" t="n">
        <v>0</v>
      </c>
    </row>
    <row r="9">
      <c r="A9" t="inlineStr">
        <is>
          <t>Paras Joshi</t>
        </is>
      </c>
      <c r="B9" t="inlineStr">
        <is>
          <t>paras.j@osmosys.co</t>
        </is>
      </c>
      <c r="C9" t="n">
        <v>1</v>
      </c>
      <c r="D9" t="n">
        <v>0</v>
      </c>
      <c r="E9" t="n">
        <v>1</v>
      </c>
      <c r="F9" t="n">
        <v>0</v>
      </c>
      <c r="G9" t="n">
        <v>0</v>
      </c>
      <c r="H9" t="n">
        <v>0</v>
      </c>
      <c r="I9" t="n">
        <v>0</v>
      </c>
      <c r="J9" t="n">
        <v>0</v>
      </c>
      <c r="K9" t="n">
        <v>0</v>
      </c>
      <c r="L9" t="n">
        <v>0</v>
      </c>
    </row>
    <row r="10">
      <c r="A10" t="inlineStr">
        <is>
          <t>Anshul Raturi</t>
        </is>
      </c>
      <c r="B10" t="inlineStr">
        <is>
          <t>anshul.r@osmosys.co</t>
        </is>
      </c>
      <c r="C10" t="n">
        <v>2</v>
      </c>
      <c r="D10" t="n">
        <v>0</v>
      </c>
      <c r="E10" t="n">
        <v>1</v>
      </c>
      <c r="F10" t="n">
        <v>1</v>
      </c>
      <c r="G10" t="n">
        <v>0</v>
      </c>
      <c r="H10" t="n">
        <v>0</v>
      </c>
      <c r="I10" t="n">
        <v>0</v>
      </c>
      <c r="J10" t="n">
        <v>0</v>
      </c>
      <c r="K10" t="n">
        <v>0</v>
      </c>
      <c r="L10" t="n">
        <v>0</v>
      </c>
    </row>
    <row r="11">
      <c r="A11" t="inlineStr">
        <is>
          <t>Pritish Tomar</t>
        </is>
      </c>
      <c r="B11" t="inlineStr">
        <is>
          <t>pritish.t@osmosys.co</t>
        </is>
      </c>
      <c r="C11" t="n">
        <v>4</v>
      </c>
      <c r="D11" t="n">
        <v>0</v>
      </c>
      <c r="E11" t="n">
        <v>2</v>
      </c>
      <c r="F11" t="n">
        <v>2</v>
      </c>
      <c r="G11" t="n">
        <v>0</v>
      </c>
      <c r="H11" t="n">
        <v>0</v>
      </c>
      <c r="I11" t="n">
        <v>0</v>
      </c>
      <c r="J11" t="n">
        <v>0</v>
      </c>
      <c r="K11" t="n">
        <v>0</v>
      </c>
      <c r="L11" t="n">
        <v>0</v>
      </c>
    </row>
    <row r="12">
      <c r="A12" t="inlineStr">
        <is>
          <t>Shristi Srivastava</t>
        </is>
      </c>
      <c r="B12" t="inlineStr">
        <is>
          <t>shristi.s@osmosys.co</t>
        </is>
      </c>
      <c r="C12" t="n">
        <v>0</v>
      </c>
      <c r="D12" t="n">
        <v>0</v>
      </c>
      <c r="E12" t="n">
        <v>0</v>
      </c>
      <c r="F12" t="n">
        <v>0</v>
      </c>
      <c r="G12" t="n">
        <v>0</v>
      </c>
      <c r="H12" t="n">
        <v>0</v>
      </c>
      <c r="I12" t="n">
        <v>0</v>
      </c>
      <c r="J12" t="n">
        <v>0</v>
      </c>
      <c r="K12" t="n">
        <v>0</v>
      </c>
      <c r="L12" t="n">
        <v>0</v>
      </c>
    </row>
    <row r="13">
      <c r="A13" t="inlineStr">
        <is>
          <t>Ankit Singh</t>
        </is>
      </c>
      <c r="B13" t="inlineStr">
        <is>
          <t>ankit.s@osmosys.co</t>
        </is>
      </c>
      <c r="C13" t="n">
        <v>6</v>
      </c>
      <c r="D13" t="n">
        <v>5</v>
      </c>
      <c r="E13" t="n">
        <v>0</v>
      </c>
      <c r="F13" t="n">
        <v>1</v>
      </c>
      <c r="G13" t="n">
        <v>2</v>
      </c>
      <c r="H13" t="n">
        <v>2</v>
      </c>
      <c r="I13" t="n">
        <v>0</v>
      </c>
      <c r="J13" t="n">
        <v>0</v>
      </c>
      <c r="K13" t="n">
        <v>2</v>
      </c>
      <c r="L13" t="n">
        <v>0</v>
      </c>
    </row>
    <row r="14">
      <c r="A14" t="inlineStr">
        <is>
          <t>Nakshatra Bhatia</t>
        </is>
      </c>
      <c r="B14" t="inlineStr">
        <is>
          <t>nakshatra.b@osmosys.co</t>
        </is>
      </c>
      <c r="C14" t="n">
        <v>17</v>
      </c>
      <c r="D14" t="n">
        <v>12</v>
      </c>
      <c r="E14" t="n">
        <v>2</v>
      </c>
      <c r="F14" t="n">
        <v>3</v>
      </c>
      <c r="G14" t="n">
        <v>73</v>
      </c>
      <c r="H14" t="n">
        <v>72</v>
      </c>
      <c r="I14" t="n">
        <v>4</v>
      </c>
      <c r="J14" t="n">
        <v>15</v>
      </c>
      <c r="K14" t="n">
        <v>44</v>
      </c>
      <c r="L14" t="n">
        <v>13</v>
      </c>
    </row>
    <row r="15">
      <c r="A15" t="inlineStr">
        <is>
          <t>Shreya Ved</t>
        </is>
      </c>
      <c r="B15" t="inlineStr">
        <is>
          <t>shreya.v@osmosys.co</t>
        </is>
      </c>
      <c r="C15" t="n">
        <v>43</v>
      </c>
      <c r="D15" t="n">
        <v>36</v>
      </c>
      <c r="E15" t="n">
        <v>5</v>
      </c>
      <c r="F15" t="n">
        <v>2</v>
      </c>
      <c r="G15" t="n">
        <v>81</v>
      </c>
      <c r="H15" t="n">
        <v>68</v>
      </c>
      <c r="I15" t="n">
        <v>2</v>
      </c>
      <c r="J15" t="n">
        <v>1</v>
      </c>
      <c r="K15" t="n">
        <v>39</v>
      </c>
      <c r="L15" t="n">
        <v>28</v>
      </c>
    </row>
    <row r="16">
      <c r="A16" t="inlineStr">
        <is>
          <t>Aditya Chakraborty</t>
        </is>
      </c>
      <c r="B16" t="inlineStr">
        <is>
          <t>aditya.c@osmosys.co</t>
        </is>
      </c>
      <c r="C16" t="n">
        <v>85</v>
      </c>
      <c r="D16" t="n">
        <v>76</v>
      </c>
      <c r="E16" t="n">
        <v>3</v>
      </c>
      <c r="F16" t="n">
        <v>6</v>
      </c>
      <c r="G16" t="n">
        <v>233</v>
      </c>
      <c r="H16" t="n">
        <v>209</v>
      </c>
      <c r="I16" t="n">
        <v>3</v>
      </c>
      <c r="J16" t="n">
        <v>10</v>
      </c>
      <c r="K16" t="n">
        <v>175</v>
      </c>
      <c r="L16" t="n">
        <v>24</v>
      </c>
    </row>
    <row r="17">
      <c r="A17" t="inlineStr">
        <is>
          <t>Rohan Mishra</t>
        </is>
      </c>
      <c r="B17" t="inlineStr">
        <is>
          <t>rohan.m@osmosys.co</t>
        </is>
      </c>
      <c r="C17" t="n">
        <v>0</v>
      </c>
      <c r="D17" t="n">
        <v>0</v>
      </c>
      <c r="E17" t="n">
        <v>0</v>
      </c>
      <c r="F17" t="n">
        <v>0</v>
      </c>
      <c r="G17" t="n">
        <v>0</v>
      </c>
      <c r="H17" t="n">
        <v>0</v>
      </c>
      <c r="I17" t="n">
        <v>0</v>
      </c>
      <c r="J17" t="n">
        <v>0</v>
      </c>
      <c r="K17" t="n">
        <v>0</v>
      </c>
      <c r="L17" t="n">
        <v>0</v>
      </c>
    </row>
    <row r="18">
      <c r="A18" t="inlineStr">
        <is>
          <t>Palak Gupta</t>
        </is>
      </c>
      <c r="B18" t="inlineStr">
        <is>
          <t>palak.g@osmosys.co</t>
        </is>
      </c>
      <c r="C18" t="n">
        <v>23</v>
      </c>
      <c r="D18" t="n">
        <v>15</v>
      </c>
      <c r="E18" t="n">
        <v>5</v>
      </c>
      <c r="F18" t="n">
        <v>3</v>
      </c>
      <c r="G18" t="n">
        <v>29</v>
      </c>
      <c r="H18" t="n">
        <v>20</v>
      </c>
      <c r="I18" t="n">
        <v>1</v>
      </c>
      <c r="J18" t="n">
        <v>0</v>
      </c>
      <c r="K18" t="n">
        <v>16</v>
      </c>
      <c r="L18" t="n">
        <v>4</v>
      </c>
    </row>
    <row r="19">
      <c r="A19" t="inlineStr">
        <is>
          <t>Om Bhavsar</t>
        </is>
      </c>
      <c r="B19" t="inlineStr">
        <is>
          <t>om.b@osmosys.co</t>
        </is>
      </c>
      <c r="C19" t="n">
        <v>1</v>
      </c>
      <c r="D19" t="n">
        <v>1</v>
      </c>
      <c r="E19" t="n">
        <v>0</v>
      </c>
      <c r="F19" t="n">
        <v>0</v>
      </c>
      <c r="G19" t="n">
        <v>0</v>
      </c>
      <c r="H19" t="n">
        <v>0</v>
      </c>
      <c r="I19" t="n">
        <v>0</v>
      </c>
      <c r="J19" t="n">
        <v>0</v>
      </c>
      <c r="K19" t="n">
        <v>0</v>
      </c>
      <c r="L19" t="n">
        <v>0</v>
      </c>
    </row>
    <row r="20">
      <c r="A20" t="inlineStr">
        <is>
          <t>Debraj Dey</t>
        </is>
      </c>
      <c r="B20" t="inlineStr">
        <is>
          <t>debraj.d@osmosys.co</t>
        </is>
      </c>
      <c r="C20" t="n">
        <v>2</v>
      </c>
      <c r="D20" t="n">
        <v>1</v>
      </c>
      <c r="E20" t="n">
        <v>1</v>
      </c>
      <c r="F20" t="n">
        <v>0</v>
      </c>
      <c r="G20" t="n">
        <v>1</v>
      </c>
      <c r="H20" t="n">
        <v>1</v>
      </c>
      <c r="I20" t="n">
        <v>0</v>
      </c>
      <c r="J20" t="n">
        <v>0</v>
      </c>
      <c r="K20" t="n">
        <v>1</v>
      </c>
      <c r="L20" t="n">
        <v>0</v>
      </c>
    </row>
    <row r="21">
      <c r="A21" t="inlineStr">
        <is>
          <t>Pratham Kancharlawar</t>
        </is>
      </c>
      <c r="B21" t="inlineStr">
        <is>
          <t>pratham.k@osmosys.co</t>
        </is>
      </c>
      <c r="C21" t="n">
        <v>49</v>
      </c>
      <c r="D21" t="n">
        <v>37</v>
      </c>
      <c r="E21" t="n">
        <v>7</v>
      </c>
      <c r="F21" t="n">
        <v>5</v>
      </c>
      <c r="G21" t="n">
        <v>23</v>
      </c>
      <c r="H21" t="n">
        <v>21</v>
      </c>
      <c r="I21" t="n">
        <v>0</v>
      </c>
      <c r="J21" t="n">
        <v>5</v>
      </c>
      <c r="K21" t="n">
        <v>10</v>
      </c>
      <c r="L21" t="n">
        <v>6</v>
      </c>
    </row>
    <row r="22">
      <c r="A22" t="inlineStr">
        <is>
          <t>Sarthak Kalra</t>
        </is>
      </c>
      <c r="B22" t="inlineStr">
        <is>
          <t>sarthak.k@osmosys.co</t>
        </is>
      </c>
      <c r="C22" t="n">
        <v>0</v>
      </c>
      <c r="D22" t="n">
        <v>0</v>
      </c>
      <c r="E22" t="n">
        <v>0</v>
      </c>
      <c r="F22" t="n">
        <v>0</v>
      </c>
      <c r="G22" t="n">
        <v>0</v>
      </c>
      <c r="H22" t="n">
        <v>0</v>
      </c>
      <c r="I22" t="n">
        <v>0</v>
      </c>
      <c r="J22" t="n">
        <v>0</v>
      </c>
      <c r="K22" t="n">
        <v>0</v>
      </c>
      <c r="L22" t="n">
        <v>0</v>
      </c>
    </row>
    <row r="23">
      <c r="A23" t="inlineStr">
        <is>
          <t>Jagrat Singh</t>
        </is>
      </c>
      <c r="B23" t="inlineStr">
        <is>
          <t>jagrat.s@osmosys.co</t>
        </is>
      </c>
      <c r="C23" t="n">
        <v>0</v>
      </c>
      <c r="D23" t="n">
        <v>0</v>
      </c>
      <c r="E23" t="n">
        <v>0</v>
      </c>
      <c r="F23" t="n">
        <v>0</v>
      </c>
      <c r="G23" t="n">
        <v>0</v>
      </c>
      <c r="H23" t="n">
        <v>0</v>
      </c>
      <c r="I23" t="n">
        <v>0</v>
      </c>
      <c r="J23" t="n">
        <v>0</v>
      </c>
      <c r="K23" t="n">
        <v>0</v>
      </c>
      <c r="L23" t="n">
        <v>0</v>
      </c>
    </row>
    <row r="24">
      <c r="A24" t="inlineStr">
        <is>
          <t>Kulsrestha Joshi</t>
        </is>
      </c>
      <c r="B24" t="inlineStr">
        <is>
          <t>kulsrestha.j@osmosys.co</t>
        </is>
      </c>
      <c r="C24" t="n">
        <v>40</v>
      </c>
      <c r="D24" t="n">
        <v>33</v>
      </c>
      <c r="E24" t="n">
        <v>1</v>
      </c>
      <c r="F24" t="n">
        <v>6</v>
      </c>
      <c r="G24" t="n">
        <v>129</v>
      </c>
      <c r="H24" t="n">
        <v>111</v>
      </c>
      <c r="I24" t="n">
        <v>3</v>
      </c>
      <c r="J24" t="n">
        <v>11</v>
      </c>
      <c r="K24" t="n">
        <v>80</v>
      </c>
      <c r="L24" t="n">
        <v>20</v>
      </c>
    </row>
    <row r="25">
      <c r="A25" t="inlineStr">
        <is>
          <t>Rupam Vallecha</t>
        </is>
      </c>
      <c r="B25" t="inlineStr">
        <is>
          <t>rupam.v@osmosys.co</t>
        </is>
      </c>
      <c r="C25" t="n">
        <v>33</v>
      </c>
      <c r="D25" t="n">
        <v>28</v>
      </c>
      <c r="E25" t="n">
        <v>5</v>
      </c>
      <c r="F25" t="n">
        <v>0</v>
      </c>
      <c r="G25" t="n">
        <v>87</v>
      </c>
      <c r="H25" t="n">
        <v>76</v>
      </c>
      <c r="I25" t="n">
        <v>3</v>
      </c>
      <c r="J25" t="n">
        <v>2</v>
      </c>
      <c r="K25" t="n">
        <v>54</v>
      </c>
      <c r="L25" t="n">
        <v>20</v>
      </c>
    </row>
    <row r="26">
      <c r="A26" t="inlineStr">
        <is>
          <t>Paritosh Kumar Jha</t>
        </is>
      </c>
      <c r="B26" t="inlineStr">
        <is>
          <t>paritoshkumar.j@osmosys.co</t>
        </is>
      </c>
      <c r="C26" t="n">
        <v>26</v>
      </c>
      <c r="D26" t="n">
        <v>23</v>
      </c>
      <c r="E26" t="n">
        <v>3</v>
      </c>
      <c r="F26" t="n">
        <v>0</v>
      </c>
      <c r="G26" t="n">
        <v>74</v>
      </c>
      <c r="H26" t="n">
        <v>63</v>
      </c>
      <c r="I26" t="n">
        <v>3</v>
      </c>
      <c r="J26" t="n">
        <v>0</v>
      </c>
      <c r="K26" t="n">
        <v>44</v>
      </c>
      <c r="L26" t="n">
        <v>19</v>
      </c>
    </row>
    <row r="27">
      <c r="A27" t="inlineStr">
        <is>
          <t>Sagar Aswar</t>
        </is>
      </c>
      <c r="B27" t="inlineStr">
        <is>
          <t>sagar.a@osmosys.co</t>
        </is>
      </c>
      <c r="C27" t="n">
        <v>42</v>
      </c>
      <c r="D27" t="n">
        <v>31</v>
      </c>
      <c r="E27" t="n">
        <v>10</v>
      </c>
      <c r="F27" t="n">
        <v>1</v>
      </c>
      <c r="G27" t="n">
        <v>11</v>
      </c>
      <c r="H27" t="n">
        <v>12</v>
      </c>
      <c r="I27" t="n">
        <v>0</v>
      </c>
      <c r="J27" t="n">
        <v>0</v>
      </c>
      <c r="K27" t="n">
        <v>10</v>
      </c>
      <c r="L27" t="n">
        <v>2</v>
      </c>
    </row>
    <row r="28">
      <c r="A28" t="inlineStr">
        <is>
          <t>Sanskar Jain</t>
        </is>
      </c>
      <c r="B28" t="inlineStr">
        <is>
          <t>sanskar.j@osmosys.co</t>
        </is>
      </c>
      <c r="C28" t="n">
        <v>39</v>
      </c>
      <c r="D28" t="n">
        <v>36</v>
      </c>
      <c r="E28" t="n">
        <v>1</v>
      </c>
      <c r="F28" t="n">
        <v>2</v>
      </c>
      <c r="G28" t="n">
        <v>0</v>
      </c>
      <c r="H28" t="n">
        <v>0</v>
      </c>
      <c r="I28" t="n">
        <v>0</v>
      </c>
      <c r="J28" t="n">
        <v>0</v>
      </c>
      <c r="K28" t="n">
        <v>0</v>
      </c>
      <c r="L28" t="n">
        <v>0</v>
      </c>
    </row>
    <row r="29">
      <c r="A29" t="inlineStr">
        <is>
          <t>Sankalp Gupta</t>
        </is>
      </c>
      <c r="B29" t="inlineStr">
        <is>
          <t>sankalp.g@osmosys.co</t>
        </is>
      </c>
      <c r="C29" t="n">
        <v>31</v>
      </c>
      <c r="D29" t="n">
        <v>24</v>
      </c>
      <c r="E29" t="n">
        <v>6</v>
      </c>
      <c r="F29" t="n">
        <v>1</v>
      </c>
      <c r="G29" t="n">
        <v>0</v>
      </c>
      <c r="H29" t="n">
        <v>0</v>
      </c>
      <c r="I29" t="n">
        <v>0</v>
      </c>
      <c r="J29" t="n">
        <v>0</v>
      </c>
      <c r="K29" t="n">
        <v>0</v>
      </c>
      <c r="L29" t="n">
        <v>0</v>
      </c>
    </row>
    <row r="30">
      <c r="A30" t="inlineStr">
        <is>
          <t>Sakshi Saxena</t>
        </is>
      </c>
      <c r="B30" t="inlineStr">
        <is>
          <t>sakshi.s@osmosys.co</t>
        </is>
      </c>
      <c r="C30" t="n">
        <v>37</v>
      </c>
      <c r="D30" t="n">
        <v>28</v>
      </c>
      <c r="E30" t="n">
        <v>8</v>
      </c>
      <c r="F30" t="n">
        <v>1</v>
      </c>
      <c r="G30" t="n">
        <v>0</v>
      </c>
      <c r="H30" t="n">
        <v>0</v>
      </c>
      <c r="I30" t="n">
        <v>0</v>
      </c>
      <c r="J30" t="n">
        <v>0</v>
      </c>
      <c r="K30" t="n">
        <v>0</v>
      </c>
      <c r="L30" t="n">
        <v>0</v>
      </c>
    </row>
    <row r="31">
      <c r="A31" t="inlineStr">
        <is>
          <t>Mohit Pargaie</t>
        </is>
      </c>
      <c r="B31" t="inlineStr">
        <is>
          <t>mohit.p@osmosys.co</t>
        </is>
      </c>
      <c r="C31" t="n">
        <v>39</v>
      </c>
      <c r="D31" t="n">
        <v>33</v>
      </c>
      <c r="E31" t="n">
        <v>5</v>
      </c>
      <c r="F31" t="n">
        <v>1</v>
      </c>
      <c r="G31" t="n">
        <v>33</v>
      </c>
      <c r="H31" t="n">
        <v>29</v>
      </c>
      <c r="I31" t="n">
        <v>1</v>
      </c>
      <c r="J31" t="n">
        <v>0</v>
      </c>
      <c r="K31" t="n">
        <v>20</v>
      </c>
      <c r="L31" t="n">
        <v>9</v>
      </c>
    </row>
    <row r="32">
      <c r="A32" t="inlineStr">
        <is>
          <t>Jatin Gupta</t>
        </is>
      </c>
      <c r="B32" t="inlineStr">
        <is>
          <t>jatin.g@osmosys.co</t>
        </is>
      </c>
      <c r="C32" t="n">
        <v>21</v>
      </c>
      <c r="D32" t="n">
        <v>15</v>
      </c>
      <c r="E32" t="n">
        <v>1</v>
      </c>
      <c r="F32" t="n">
        <v>5</v>
      </c>
      <c r="G32" t="n">
        <v>3</v>
      </c>
      <c r="H32" t="n">
        <v>3</v>
      </c>
      <c r="I32" t="n">
        <v>0</v>
      </c>
      <c r="J32" t="n">
        <v>0</v>
      </c>
      <c r="K32" t="n">
        <v>2</v>
      </c>
      <c r="L32" t="n">
        <v>1</v>
      </c>
    </row>
    <row r="33">
      <c r="A33" t="inlineStr">
        <is>
          <t>Hitesh Kandpal</t>
        </is>
      </c>
      <c r="B33" t="inlineStr">
        <is>
          <t>hitesh.k@osmosys.co</t>
        </is>
      </c>
      <c r="C33" t="n">
        <v>41</v>
      </c>
      <c r="D33" t="n">
        <v>37</v>
      </c>
      <c r="E33" t="n">
        <v>3</v>
      </c>
      <c r="F33" t="n">
        <v>1</v>
      </c>
      <c r="G33" t="n">
        <v>171</v>
      </c>
      <c r="H33" t="n">
        <v>140</v>
      </c>
      <c r="I33" t="n">
        <v>4</v>
      </c>
      <c r="J33" t="n">
        <v>2</v>
      </c>
      <c r="K33" t="n">
        <v>92</v>
      </c>
      <c r="L33" t="n">
        <v>46</v>
      </c>
    </row>
    <row r="34">
      <c r="A34" t="inlineStr">
        <is>
          <t>Dhruv Pahadia</t>
        </is>
      </c>
      <c r="B34" t="inlineStr">
        <is>
          <t>dhruv.p@osmosys.co</t>
        </is>
      </c>
      <c r="C34" t="n">
        <v>50</v>
      </c>
      <c r="D34" t="n">
        <v>42</v>
      </c>
      <c r="E34" t="n">
        <v>4</v>
      </c>
      <c r="F34" t="n">
        <v>4</v>
      </c>
      <c r="G34" t="n">
        <v>147</v>
      </c>
      <c r="H34" t="n">
        <v>113</v>
      </c>
      <c r="I34" t="n">
        <v>3</v>
      </c>
      <c r="J34" t="n">
        <v>4</v>
      </c>
      <c r="K34" t="n">
        <v>87</v>
      </c>
      <c r="L34" t="n">
        <v>22</v>
      </c>
    </row>
    <row r="35">
      <c r="A35" t="inlineStr">
        <is>
          <t>Abhinav Srivastava</t>
        </is>
      </c>
      <c r="B35" t="inlineStr">
        <is>
          <t>abhinav.s@osmosys.co</t>
        </is>
      </c>
      <c r="C35" t="n">
        <v>48</v>
      </c>
      <c r="D35" t="n">
        <v>41</v>
      </c>
      <c r="E35" t="n">
        <v>6</v>
      </c>
      <c r="F35" t="n">
        <v>1</v>
      </c>
      <c r="G35" t="n">
        <v>6</v>
      </c>
      <c r="H35" t="n">
        <v>7</v>
      </c>
      <c r="I35" t="n">
        <v>0</v>
      </c>
      <c r="J35" t="n">
        <v>1</v>
      </c>
      <c r="K35" t="n">
        <v>4</v>
      </c>
      <c r="L35" t="n">
        <v>2</v>
      </c>
    </row>
    <row r="36">
      <c r="A36" t="inlineStr">
        <is>
          <t>Jaideep Singh</t>
        </is>
      </c>
      <c r="B36" t="inlineStr">
        <is>
          <t>jaideep.s@osmosys.co</t>
        </is>
      </c>
      <c r="C36" t="n">
        <v>5</v>
      </c>
      <c r="D36" t="n">
        <v>4</v>
      </c>
      <c r="E36" t="n">
        <v>1</v>
      </c>
      <c r="F36" t="n">
        <v>0</v>
      </c>
      <c r="G36" t="n">
        <v>0</v>
      </c>
      <c r="H36" t="n">
        <v>0</v>
      </c>
      <c r="I36" t="n">
        <v>0</v>
      </c>
      <c r="J36" t="n">
        <v>0</v>
      </c>
      <c r="K36" t="n">
        <v>0</v>
      </c>
      <c r="L36" t="n">
        <v>0</v>
      </c>
    </row>
    <row r="37">
      <c r="A37" t="inlineStr">
        <is>
          <t>Ankit Anand</t>
        </is>
      </c>
      <c r="B37" t="inlineStr">
        <is>
          <t>ankit.a@osmosys.co</t>
        </is>
      </c>
      <c r="C37" t="n">
        <v>0</v>
      </c>
      <c r="D37" t="n">
        <v>0</v>
      </c>
      <c r="E37" t="n">
        <v>0</v>
      </c>
      <c r="F37" t="n">
        <v>0</v>
      </c>
      <c r="G37" t="n">
        <v>0</v>
      </c>
      <c r="H37" t="n">
        <v>0</v>
      </c>
      <c r="I37" t="n">
        <v>0</v>
      </c>
      <c r="J37" t="n">
        <v>0</v>
      </c>
      <c r="K37" t="n">
        <v>0</v>
      </c>
      <c r="L37" t="n">
        <v>0</v>
      </c>
    </row>
    <row r="38">
      <c r="A38" t="inlineStr">
        <is>
          <t>Lakshmana Rao Padala</t>
        </is>
      </c>
      <c r="B38" t="inlineStr">
        <is>
          <t>lakshmanarao.p@osmosys.co</t>
        </is>
      </c>
      <c r="C38" t="n">
        <v>0</v>
      </c>
      <c r="D38" t="n">
        <v>0</v>
      </c>
      <c r="E38" t="n">
        <v>0</v>
      </c>
      <c r="F38" t="n">
        <v>0</v>
      </c>
      <c r="G38" t="n">
        <v>0</v>
      </c>
      <c r="H38" t="n">
        <v>0</v>
      </c>
      <c r="I38" t="n">
        <v>0</v>
      </c>
      <c r="J38" t="n">
        <v>0</v>
      </c>
      <c r="K38" t="n">
        <v>0</v>
      </c>
      <c r="L38" t="n">
        <v>0</v>
      </c>
    </row>
    <row r="39">
      <c r="A39" t="inlineStr">
        <is>
          <t>Harish</t>
        </is>
      </c>
      <c r="B39" t="inlineStr">
        <is>
          <t>harish@osmosys.co</t>
        </is>
      </c>
      <c r="C39" t="n">
        <v>77</v>
      </c>
      <c r="D39" t="n">
        <v>70</v>
      </c>
      <c r="E39" t="n">
        <v>3</v>
      </c>
      <c r="F39" t="n">
        <v>4</v>
      </c>
      <c r="G39" t="n">
        <v>26</v>
      </c>
      <c r="H39" t="n">
        <v>22</v>
      </c>
      <c r="I39" t="n">
        <v>0</v>
      </c>
      <c r="J39" t="n">
        <v>0</v>
      </c>
      <c r="K39" t="n">
        <v>15</v>
      </c>
      <c r="L39" t="n">
        <v>7</v>
      </c>
    </row>
    <row r="40">
      <c r="A40" t="inlineStr">
        <is>
          <t>Ujjawal Sharma</t>
        </is>
      </c>
      <c r="B40" t="inlineStr">
        <is>
          <t>ujjawal.s@osmosys.co</t>
        </is>
      </c>
      <c r="C40" t="n">
        <v>16</v>
      </c>
      <c r="D40" t="n">
        <v>14</v>
      </c>
      <c r="E40" t="n">
        <v>2</v>
      </c>
      <c r="F40" t="n">
        <v>0</v>
      </c>
      <c r="G40" t="n">
        <v>5</v>
      </c>
      <c r="H40" t="n">
        <v>5</v>
      </c>
      <c r="I40" t="n">
        <v>0</v>
      </c>
      <c r="J40" t="n">
        <v>0</v>
      </c>
      <c r="K40" t="n">
        <v>5</v>
      </c>
      <c r="L40" t="n">
        <v>0</v>
      </c>
    </row>
    <row r="41">
      <c r="A41" t="inlineStr">
        <is>
          <t>Kshitij Kumar</t>
        </is>
      </c>
      <c r="B41" t="inlineStr">
        <is>
          <t>kshitij.k@osmosys.co</t>
        </is>
      </c>
      <c r="C41" t="n">
        <v>0</v>
      </c>
      <c r="D41" t="n">
        <v>0</v>
      </c>
      <c r="E41" t="n">
        <v>0</v>
      </c>
      <c r="F41" t="n">
        <v>0</v>
      </c>
      <c r="G41" t="n">
        <v>0</v>
      </c>
      <c r="H41" t="n">
        <v>0</v>
      </c>
      <c r="I41" t="n">
        <v>0</v>
      </c>
      <c r="J41" t="n">
        <v>0</v>
      </c>
      <c r="K41" t="n">
        <v>0</v>
      </c>
      <c r="L41" t="n">
        <v>0</v>
      </c>
    </row>
    <row r="42">
      <c r="A42" t="inlineStr">
        <is>
          <t>Kumar Samarjeet</t>
        </is>
      </c>
      <c r="B42" t="inlineStr">
        <is>
          <t>samarjeet.k@osmosys.co</t>
        </is>
      </c>
      <c r="C42" t="n">
        <v>68</v>
      </c>
      <c r="D42" t="n">
        <v>60</v>
      </c>
      <c r="E42" t="n">
        <v>4</v>
      </c>
      <c r="F42" t="n">
        <v>4</v>
      </c>
      <c r="G42" t="n">
        <v>27</v>
      </c>
      <c r="H42" t="n">
        <v>23</v>
      </c>
      <c r="I42" t="n">
        <v>0</v>
      </c>
      <c r="J42" t="n">
        <v>0</v>
      </c>
      <c r="K42" t="n">
        <v>19</v>
      </c>
      <c r="L42" t="n">
        <v>4</v>
      </c>
    </row>
    <row r="43">
      <c r="A43" t="inlineStr">
        <is>
          <t>Sandeep Kumar</t>
        </is>
      </c>
      <c r="B43" t="inlineStr">
        <is>
          <t>sandeep.k@osmosys.co</t>
        </is>
      </c>
      <c r="C43" t="n">
        <v>5</v>
      </c>
      <c r="D43" t="n">
        <v>3</v>
      </c>
      <c r="E43" t="n">
        <v>2</v>
      </c>
      <c r="F43" t="n">
        <v>0</v>
      </c>
      <c r="G43" t="n">
        <v>83</v>
      </c>
      <c r="H43" t="n">
        <v>38</v>
      </c>
      <c r="I43" t="n">
        <v>17</v>
      </c>
      <c r="J43" t="n">
        <v>1</v>
      </c>
      <c r="K43" t="n">
        <v>32</v>
      </c>
      <c r="L43" t="n">
        <v>5</v>
      </c>
    </row>
    <row r="44">
      <c r="A44" t="inlineStr">
        <is>
          <t>Bhavana Arni</t>
        </is>
      </c>
      <c r="B44" t="inlineStr">
        <is>
          <t>bhavana.a@osmosys.co</t>
        </is>
      </c>
      <c r="C44" t="n">
        <v>2</v>
      </c>
      <c r="D44" t="n">
        <v>2</v>
      </c>
      <c r="E44" t="n">
        <v>0</v>
      </c>
      <c r="F44" t="n">
        <v>0</v>
      </c>
      <c r="G44" t="n">
        <v>0</v>
      </c>
      <c r="H44" t="n">
        <v>0</v>
      </c>
      <c r="I44" t="n">
        <v>0</v>
      </c>
      <c r="J44" t="n">
        <v>0</v>
      </c>
      <c r="K44" t="n">
        <v>0</v>
      </c>
      <c r="L44" t="n">
        <v>0</v>
      </c>
    </row>
    <row r="45">
      <c r="A45" t="inlineStr">
        <is>
          <t>Aditya Vishwakarma</t>
        </is>
      </c>
      <c r="B45" t="inlineStr">
        <is>
          <t>aditya.v@osmosys.co</t>
        </is>
      </c>
      <c r="C45" t="n">
        <v>7</v>
      </c>
      <c r="D45" t="n">
        <v>6</v>
      </c>
      <c r="E45" t="n">
        <v>1</v>
      </c>
      <c r="F45" t="n">
        <v>0</v>
      </c>
      <c r="G45" t="n">
        <v>2</v>
      </c>
      <c r="H45" t="n">
        <v>2</v>
      </c>
      <c r="I45" t="n">
        <v>0</v>
      </c>
      <c r="J45" t="n">
        <v>0</v>
      </c>
      <c r="K45" t="n">
        <v>2</v>
      </c>
      <c r="L45" t="n">
        <v>0</v>
      </c>
    </row>
    <row r="46">
      <c r="A46" t="inlineStr">
        <is>
          <t>Bishal Mondal</t>
        </is>
      </c>
      <c r="B46" t="inlineStr">
        <is>
          <t>bishal.m@osmosys.co</t>
        </is>
      </c>
      <c r="C46" t="n">
        <v>45</v>
      </c>
      <c r="D46" t="n">
        <v>35</v>
      </c>
      <c r="E46" t="n">
        <v>6</v>
      </c>
      <c r="F46" t="n">
        <v>4</v>
      </c>
      <c r="G46" t="n">
        <v>11</v>
      </c>
      <c r="H46" t="n">
        <v>10</v>
      </c>
      <c r="I46" t="n">
        <v>0</v>
      </c>
      <c r="J46" t="n">
        <v>0</v>
      </c>
      <c r="K46" t="n">
        <v>8</v>
      </c>
      <c r="L46" t="n">
        <v>2</v>
      </c>
    </row>
    <row r="47">
      <c r="A47" t="inlineStr">
        <is>
          <t>Ayush Bikram Singh Deo</t>
        </is>
      </c>
      <c r="B47" t="inlineStr">
        <is>
          <t>ayush.b@osmosys.co</t>
        </is>
      </c>
      <c r="C47" t="n">
        <v>8</v>
      </c>
      <c r="D47" t="n">
        <v>7</v>
      </c>
      <c r="E47" t="n">
        <v>1</v>
      </c>
      <c r="F47" t="n">
        <v>0</v>
      </c>
      <c r="G47" t="n">
        <v>1</v>
      </c>
      <c r="H47" t="n">
        <v>1</v>
      </c>
      <c r="I47" t="n">
        <v>0</v>
      </c>
      <c r="J47" t="n">
        <v>0</v>
      </c>
      <c r="K47" t="n">
        <v>1</v>
      </c>
      <c r="L47" t="n">
        <v>0</v>
      </c>
    </row>
    <row r="48">
      <c r="A48" t="inlineStr">
        <is>
          <t>Shreyansh Jain</t>
        </is>
      </c>
      <c r="B48" t="inlineStr">
        <is>
          <t>shreyansh.j@osmosys.co</t>
        </is>
      </c>
      <c r="C48" t="n">
        <v>31</v>
      </c>
      <c r="D48" t="n">
        <v>30</v>
      </c>
      <c r="E48" t="n">
        <v>1</v>
      </c>
      <c r="F48" t="n">
        <v>0</v>
      </c>
      <c r="G48" t="n">
        <v>0</v>
      </c>
      <c r="H48" t="n">
        <v>0</v>
      </c>
      <c r="I48" t="n">
        <v>0</v>
      </c>
      <c r="J48" t="n">
        <v>0</v>
      </c>
      <c r="K48" t="n">
        <v>0</v>
      </c>
      <c r="L48" t="n">
        <v>0</v>
      </c>
    </row>
    <row r="49">
      <c r="A49" t="inlineStr">
        <is>
          <t>Parth Sharma</t>
        </is>
      </c>
      <c r="B49" t="inlineStr">
        <is>
          <t>parth.s@osmosys.co</t>
        </is>
      </c>
      <c r="C49" t="n">
        <v>0</v>
      </c>
      <c r="D49" t="n">
        <v>0</v>
      </c>
      <c r="E49" t="n">
        <v>0</v>
      </c>
      <c r="F49" t="n">
        <v>0</v>
      </c>
      <c r="G49" t="n">
        <v>0</v>
      </c>
      <c r="H49" t="n">
        <v>0</v>
      </c>
      <c r="I49" t="n">
        <v>0</v>
      </c>
      <c r="J49" t="n">
        <v>0</v>
      </c>
      <c r="K49" t="n">
        <v>0</v>
      </c>
      <c r="L49" t="n">
        <v>0</v>
      </c>
    </row>
    <row r="50">
      <c r="A50" t="inlineStr">
        <is>
          <t>Gopika Singh</t>
        </is>
      </c>
      <c r="B50" t="inlineStr">
        <is>
          <t>gopika.s@osmosys.co</t>
        </is>
      </c>
      <c r="C50" t="n">
        <v>1</v>
      </c>
      <c r="D50" t="n">
        <v>0</v>
      </c>
      <c r="E50" t="n">
        <v>1</v>
      </c>
      <c r="F50" t="n">
        <v>0</v>
      </c>
      <c r="G50" t="n">
        <v>0</v>
      </c>
      <c r="H50" t="n">
        <v>0</v>
      </c>
      <c r="I50" t="n">
        <v>0</v>
      </c>
      <c r="J50" t="n">
        <v>0</v>
      </c>
      <c r="K50" t="n">
        <v>0</v>
      </c>
      <c r="L50" t="n">
        <v>0</v>
      </c>
    </row>
    <row r="51">
      <c r="A51" t="inlineStr">
        <is>
          <t>Soumi Basak</t>
        </is>
      </c>
      <c r="B51" t="inlineStr">
        <is>
          <t>soumi.b@osmosys.co</t>
        </is>
      </c>
      <c r="C51" t="n">
        <v>155</v>
      </c>
      <c r="D51" t="n">
        <v>127</v>
      </c>
      <c r="E51" t="n">
        <v>13</v>
      </c>
      <c r="F51" t="n">
        <v>15</v>
      </c>
      <c r="G51" t="n">
        <v>2</v>
      </c>
      <c r="H51" t="n">
        <v>2</v>
      </c>
      <c r="I51" t="n">
        <v>0</v>
      </c>
      <c r="J51" t="n">
        <v>0</v>
      </c>
      <c r="K51" t="n">
        <v>2</v>
      </c>
      <c r="L51" t="n">
        <v>0</v>
      </c>
    </row>
    <row r="52">
      <c r="A52" t="inlineStr">
        <is>
          <t>Arun Kumar</t>
        </is>
      </c>
      <c r="B52" t="inlineStr">
        <is>
          <t>arun.k@osmosys.co</t>
        </is>
      </c>
      <c r="C52" t="n">
        <v>17</v>
      </c>
      <c r="D52" t="n">
        <v>15</v>
      </c>
      <c r="E52" t="n">
        <v>1</v>
      </c>
      <c r="F52" t="n">
        <v>1</v>
      </c>
      <c r="G52" t="n">
        <v>8</v>
      </c>
      <c r="H52" t="n">
        <v>8</v>
      </c>
      <c r="I52" t="n">
        <v>0</v>
      </c>
      <c r="J52" t="n">
        <v>0</v>
      </c>
      <c r="K52" t="n">
        <v>8</v>
      </c>
      <c r="L52" t="n">
        <v>0</v>
      </c>
    </row>
    <row r="53">
      <c r="A53" t="inlineStr">
        <is>
          <t>Lakhan Badure</t>
        </is>
      </c>
      <c r="B53" t="inlineStr">
        <is>
          <t>lakhan.b@osmosys.co</t>
        </is>
      </c>
      <c r="C53" t="n">
        <v>38</v>
      </c>
      <c r="D53" t="n">
        <v>29</v>
      </c>
      <c r="E53" t="n">
        <v>9</v>
      </c>
      <c r="F53" t="n">
        <v>0</v>
      </c>
      <c r="G53" t="n">
        <v>43</v>
      </c>
      <c r="H53" t="n">
        <v>39</v>
      </c>
      <c r="I53" t="n">
        <v>1</v>
      </c>
      <c r="J53" t="n">
        <v>5</v>
      </c>
      <c r="K53" t="n">
        <v>29</v>
      </c>
      <c r="L53" t="n">
        <v>5</v>
      </c>
    </row>
    <row r="54">
      <c r="A54" t="inlineStr">
        <is>
          <t>Sayan Mondal</t>
        </is>
      </c>
      <c r="B54" t="inlineStr">
        <is>
          <t>sayan.m@osmosys.co</t>
        </is>
      </c>
      <c r="C54" t="n">
        <v>73</v>
      </c>
      <c r="D54" t="n">
        <v>66</v>
      </c>
      <c r="E54" t="n">
        <v>4</v>
      </c>
      <c r="F54" t="n">
        <v>3</v>
      </c>
      <c r="G54" t="n">
        <v>133</v>
      </c>
      <c r="H54" t="n">
        <v>119</v>
      </c>
      <c r="I54" t="n">
        <v>2</v>
      </c>
      <c r="J54" t="n">
        <v>3</v>
      </c>
      <c r="K54" t="n">
        <v>96</v>
      </c>
      <c r="L54" t="n">
        <v>20</v>
      </c>
    </row>
    <row r="55">
      <c r="A55" t="inlineStr">
        <is>
          <t>Ayush Mishra</t>
        </is>
      </c>
      <c r="B55" t="inlineStr">
        <is>
          <t>ayush.m@osmosys.co</t>
        </is>
      </c>
      <c r="C55" t="n">
        <v>0</v>
      </c>
      <c r="D55" t="n">
        <v>0</v>
      </c>
      <c r="E55" t="n">
        <v>0</v>
      </c>
      <c r="F55" t="n">
        <v>0</v>
      </c>
      <c r="G55" t="n">
        <v>0</v>
      </c>
      <c r="H55" t="n">
        <v>0</v>
      </c>
      <c r="I55" t="n">
        <v>0</v>
      </c>
      <c r="J55" t="n">
        <v>0</v>
      </c>
      <c r="K55" t="n">
        <v>0</v>
      </c>
      <c r="L55" t="n">
        <v>0</v>
      </c>
    </row>
    <row r="56">
      <c r="A56" t="inlineStr">
        <is>
          <t>Vaibhav Varun</t>
        </is>
      </c>
      <c r="B56" t="inlineStr">
        <is>
          <t>vaibhav.v@osmosys.co</t>
        </is>
      </c>
      <c r="C56" t="n">
        <v>47</v>
      </c>
      <c r="D56" t="n">
        <v>43</v>
      </c>
      <c r="E56" t="n">
        <v>2</v>
      </c>
      <c r="F56" t="n">
        <v>2</v>
      </c>
      <c r="G56" t="n">
        <v>132</v>
      </c>
      <c r="H56" t="n">
        <v>113</v>
      </c>
      <c r="I56" t="n">
        <v>3</v>
      </c>
      <c r="J56" t="n">
        <v>1</v>
      </c>
      <c r="K56" t="n">
        <v>89</v>
      </c>
      <c r="L56" t="n">
        <v>23</v>
      </c>
    </row>
    <row r="57">
      <c r="A57" t="inlineStr">
        <is>
          <t>Yashwant Thombre</t>
        </is>
      </c>
      <c r="B57" t="inlineStr">
        <is>
          <t>yashwanth.t@osmosys.co</t>
        </is>
      </c>
      <c r="C57" t="n">
        <v>22</v>
      </c>
      <c r="D57" t="n">
        <v>21</v>
      </c>
      <c r="E57" t="n">
        <v>1</v>
      </c>
      <c r="F57" t="n">
        <v>0</v>
      </c>
      <c r="G57" t="n">
        <v>2</v>
      </c>
      <c r="H57" t="n">
        <v>2</v>
      </c>
      <c r="I57" t="n">
        <v>0</v>
      </c>
      <c r="J57" t="n">
        <v>1</v>
      </c>
      <c r="K57" t="n">
        <v>1</v>
      </c>
      <c r="L57" t="n">
        <v>0</v>
      </c>
    </row>
    <row r="58">
      <c r="A58" t="inlineStr">
        <is>
          <t xml:space="preserve">Mandali Harshavardhan </t>
        </is>
      </c>
      <c r="B58" t="inlineStr">
        <is>
          <t>harshavardhan.m@osmosys.co</t>
        </is>
      </c>
      <c r="C58" t="n">
        <v>21</v>
      </c>
      <c r="D58" t="n">
        <v>19</v>
      </c>
      <c r="E58" t="n">
        <v>1</v>
      </c>
      <c r="F58" t="n">
        <v>1</v>
      </c>
      <c r="G58" t="n">
        <v>0</v>
      </c>
      <c r="H58" t="n">
        <v>0</v>
      </c>
      <c r="I58" t="n">
        <v>0</v>
      </c>
      <c r="J58" t="n">
        <v>0</v>
      </c>
      <c r="K58" t="n">
        <v>0</v>
      </c>
      <c r="L58" t="n">
        <v>0</v>
      </c>
    </row>
    <row r="59">
      <c r="A59" t="inlineStr">
        <is>
          <t>Udaishya Yadav</t>
        </is>
      </c>
      <c r="B59" t="inlineStr">
        <is>
          <t>udaishya.y@osmosys.co</t>
        </is>
      </c>
      <c r="C59" t="n">
        <v>0</v>
      </c>
      <c r="D59" t="n">
        <v>0</v>
      </c>
      <c r="E59" t="n">
        <v>0</v>
      </c>
      <c r="F59" t="n">
        <v>0</v>
      </c>
      <c r="G59" t="n">
        <v>0</v>
      </c>
      <c r="H59" t="n">
        <v>0</v>
      </c>
      <c r="I59" t="n">
        <v>0</v>
      </c>
      <c r="J59" t="n">
        <v>0</v>
      </c>
      <c r="K59" t="n">
        <v>0</v>
      </c>
      <c r="L59" t="n">
        <v>0</v>
      </c>
    </row>
    <row r="60">
      <c r="A60" t="inlineStr">
        <is>
          <t>Sephali Kumari</t>
        </is>
      </c>
      <c r="B60" t="inlineStr">
        <is>
          <t>sephali.k@osmosys.co</t>
        </is>
      </c>
      <c r="C60" t="n">
        <v>44</v>
      </c>
      <c r="D60" t="n">
        <v>38</v>
      </c>
      <c r="E60" t="n">
        <v>5</v>
      </c>
      <c r="F60" t="n">
        <v>1</v>
      </c>
      <c r="G60" t="n">
        <v>8</v>
      </c>
      <c r="H60" t="n">
        <v>7</v>
      </c>
      <c r="I60" t="n">
        <v>0</v>
      </c>
      <c r="J60" t="n">
        <v>0</v>
      </c>
      <c r="K60" t="n">
        <v>4</v>
      </c>
      <c r="L60" t="n">
        <v>3</v>
      </c>
    </row>
    <row r="61">
      <c r="A61" t="inlineStr">
        <is>
          <t>Ram Raut</t>
        </is>
      </c>
      <c r="B61" t="inlineStr">
        <is>
          <t>ram.raut@osmosys.co</t>
        </is>
      </c>
      <c r="C61" t="n">
        <v>0</v>
      </c>
      <c r="D61" t="n">
        <v>0</v>
      </c>
      <c r="E61" t="n">
        <v>0</v>
      </c>
      <c r="F61" t="n">
        <v>0</v>
      </c>
      <c r="G61" t="n">
        <v>0</v>
      </c>
      <c r="H61" t="n">
        <v>0</v>
      </c>
      <c r="I61" t="n">
        <v>0</v>
      </c>
      <c r="J61" t="n">
        <v>0</v>
      </c>
      <c r="K61" t="n">
        <v>0</v>
      </c>
      <c r="L61" t="n">
        <v>0</v>
      </c>
    </row>
    <row r="62">
      <c r="A62" t="inlineStr">
        <is>
          <t>Aakash Sheoran</t>
        </is>
      </c>
      <c r="B62" t="inlineStr">
        <is>
          <t>akash.s@osmosys.co</t>
        </is>
      </c>
      <c r="C62" t="n">
        <v>0</v>
      </c>
      <c r="D62" t="n">
        <v>0</v>
      </c>
      <c r="E62" t="n">
        <v>0</v>
      </c>
      <c r="F62" t="n">
        <v>0</v>
      </c>
      <c r="G62" t="n">
        <v>0</v>
      </c>
      <c r="H62" t="n">
        <v>0</v>
      </c>
      <c r="I62" t="n">
        <v>0</v>
      </c>
      <c r="J62" t="n">
        <v>0</v>
      </c>
      <c r="K62" t="n">
        <v>0</v>
      </c>
      <c r="L62" t="n">
        <v>0</v>
      </c>
    </row>
    <row r="63">
      <c r="A63" t="inlineStr">
        <is>
          <t>Prateek Singh</t>
        </is>
      </c>
      <c r="B63" t="inlineStr">
        <is>
          <t>prateek.s@osmosys.co</t>
        </is>
      </c>
      <c r="C63" t="n">
        <v>0</v>
      </c>
      <c r="D63" t="n">
        <v>0</v>
      </c>
      <c r="E63" t="n">
        <v>0</v>
      </c>
      <c r="F63" t="n">
        <v>0</v>
      </c>
      <c r="G63" t="n">
        <v>0</v>
      </c>
      <c r="H63" t="n">
        <v>0</v>
      </c>
      <c r="I63" t="n">
        <v>0</v>
      </c>
      <c r="J63" t="n">
        <v>0</v>
      </c>
      <c r="K63" t="n">
        <v>0</v>
      </c>
      <c r="L63" t="n">
        <v>0</v>
      </c>
    </row>
    <row r="64">
      <c r="A64" t="inlineStr">
        <is>
          <t>Yogesh Kumar T</t>
        </is>
      </c>
      <c r="B64" t="inlineStr">
        <is>
          <t>yogeshkumar.t@osmosys.co</t>
        </is>
      </c>
      <c r="C64" t="n">
        <v>2</v>
      </c>
      <c r="D64" t="n">
        <v>0</v>
      </c>
      <c r="E64" t="n">
        <v>2</v>
      </c>
      <c r="F64" t="n">
        <v>0</v>
      </c>
      <c r="G64" t="n">
        <v>0</v>
      </c>
      <c r="H64" t="n">
        <v>0</v>
      </c>
      <c r="I64" t="n">
        <v>0</v>
      </c>
      <c r="J64" t="n">
        <v>0</v>
      </c>
      <c r="K64" t="n">
        <v>0</v>
      </c>
      <c r="L64" t="n">
        <v>0</v>
      </c>
    </row>
    <row r="65">
      <c r="A65" t="inlineStr">
        <is>
          <t>Yashwanth M</t>
        </is>
      </c>
      <c r="B65" t="inlineStr">
        <is>
          <t>yashwanth.m@osmosys.co</t>
        </is>
      </c>
      <c r="C65" t="n">
        <v>8</v>
      </c>
      <c r="D65" t="n">
        <v>8</v>
      </c>
      <c r="E65" t="n">
        <v>0</v>
      </c>
      <c r="F65" t="n">
        <v>0</v>
      </c>
      <c r="G65" t="n">
        <v>0</v>
      </c>
      <c r="H65" t="n">
        <v>0</v>
      </c>
      <c r="I65" t="n">
        <v>0</v>
      </c>
      <c r="J65" t="n">
        <v>0</v>
      </c>
      <c r="K65" t="n">
        <v>0</v>
      </c>
      <c r="L65" t="n">
        <v>0</v>
      </c>
    </row>
    <row r="66">
      <c r="A66" t="inlineStr">
        <is>
          <t>Kishore V</t>
        </is>
      </c>
      <c r="B66" t="inlineStr">
        <is>
          <t>kishore.v@osmosys.co</t>
        </is>
      </c>
      <c r="C66" t="n">
        <v>6</v>
      </c>
      <c r="D66" t="n">
        <v>3</v>
      </c>
      <c r="E66" t="n">
        <v>3</v>
      </c>
      <c r="F66" t="n">
        <v>0</v>
      </c>
      <c r="G66" t="n">
        <v>6</v>
      </c>
      <c r="H66" t="n">
        <v>4</v>
      </c>
      <c r="I66" t="n">
        <v>1</v>
      </c>
      <c r="J66" t="n">
        <v>0</v>
      </c>
      <c r="K66" t="n">
        <v>4</v>
      </c>
      <c r="L66" t="n">
        <v>0</v>
      </c>
    </row>
    <row r="67">
      <c r="A67" t="inlineStr">
        <is>
          <t>Soundariya B</t>
        </is>
      </c>
      <c r="B67" t="inlineStr">
        <is>
          <t>soundariya.b@osmosys.co</t>
        </is>
      </c>
      <c r="C67" t="n">
        <v>3</v>
      </c>
      <c r="D67" t="n">
        <v>1</v>
      </c>
      <c r="E67" t="n">
        <v>1</v>
      </c>
      <c r="F67" t="n">
        <v>1</v>
      </c>
      <c r="G67" t="n">
        <v>0</v>
      </c>
      <c r="H67" t="n">
        <v>0</v>
      </c>
      <c r="I67" t="n">
        <v>0</v>
      </c>
      <c r="J67" t="n">
        <v>0</v>
      </c>
      <c r="K67" t="n">
        <v>0</v>
      </c>
      <c r="L67" t="n">
        <v>0</v>
      </c>
    </row>
    <row r="68">
      <c r="A68" t="inlineStr">
        <is>
          <t>Yarragonda Gampi Reddy</t>
        </is>
      </c>
      <c r="B68" t="inlineStr">
        <is>
          <t>gampireddy.y@osmosys.co</t>
        </is>
      </c>
      <c r="C68" t="n">
        <v>0</v>
      </c>
      <c r="D68" t="n">
        <v>0</v>
      </c>
      <c r="E68" t="n">
        <v>0</v>
      </c>
      <c r="F68" t="n">
        <v>0</v>
      </c>
      <c r="G68" t="n">
        <v>0</v>
      </c>
      <c r="H68" t="n">
        <v>0</v>
      </c>
      <c r="I68" t="n">
        <v>0</v>
      </c>
      <c r="J68" t="n">
        <v>0</v>
      </c>
      <c r="K68" t="n">
        <v>0</v>
      </c>
      <c r="L68" t="n">
        <v>0</v>
      </c>
    </row>
    <row r="69">
      <c r="A69" t="inlineStr">
        <is>
          <t>Anand Prakash</t>
        </is>
      </c>
      <c r="B69" t="inlineStr">
        <is>
          <t>anand.p@osmosys.co</t>
        </is>
      </c>
      <c r="C69" t="n">
        <v>2</v>
      </c>
      <c r="D69" t="n">
        <v>2</v>
      </c>
      <c r="E69" t="n">
        <v>0</v>
      </c>
      <c r="F69" t="n">
        <v>0</v>
      </c>
      <c r="G69" t="n">
        <v>0</v>
      </c>
      <c r="H69" t="n">
        <v>0</v>
      </c>
      <c r="I69" t="n">
        <v>0</v>
      </c>
      <c r="J69" t="n">
        <v>0</v>
      </c>
      <c r="K69" t="n">
        <v>0</v>
      </c>
      <c r="L69" t="n">
        <v>0</v>
      </c>
    </row>
    <row r="70">
      <c r="A70" t="inlineStr">
        <is>
          <t>Vikas Kyatannawar</t>
        </is>
      </c>
      <c r="B70" t="inlineStr">
        <is>
          <t>vikas.k@osmosys.co</t>
        </is>
      </c>
      <c r="C70" t="n">
        <v>0</v>
      </c>
      <c r="D70" t="n">
        <v>0</v>
      </c>
      <c r="E70" t="n">
        <v>0</v>
      </c>
      <c r="F70" t="n">
        <v>0</v>
      </c>
      <c r="G70" t="n">
        <v>0</v>
      </c>
      <c r="H70" t="n">
        <v>0</v>
      </c>
      <c r="I70" t="n">
        <v>0</v>
      </c>
      <c r="J70" t="n">
        <v>0</v>
      </c>
      <c r="K70" t="n">
        <v>0</v>
      </c>
      <c r="L70" t="n">
        <v>0</v>
      </c>
    </row>
    <row r="71">
      <c r="A71" t="inlineStr">
        <is>
          <t>Jaswanth Lingareddy</t>
        </is>
      </c>
      <c r="B71" t="inlineStr">
        <is>
          <t>jaswanth.l@osmosys.co</t>
        </is>
      </c>
      <c r="C71" t="n">
        <v>0</v>
      </c>
      <c r="D71" t="n">
        <v>0</v>
      </c>
      <c r="E71" t="n">
        <v>0</v>
      </c>
      <c r="F71" t="n">
        <v>0</v>
      </c>
      <c r="G71" t="n">
        <v>0</v>
      </c>
      <c r="H71" t="n">
        <v>0</v>
      </c>
      <c r="I71" t="n">
        <v>0</v>
      </c>
      <c r="J71" t="n">
        <v>0</v>
      </c>
      <c r="K71" t="n">
        <v>0</v>
      </c>
      <c r="L71" t="n">
        <v>0</v>
      </c>
    </row>
    <row r="72">
      <c r="A72" t="inlineStr">
        <is>
          <t>Saimanohar</t>
        </is>
      </c>
      <c r="B72" t="inlineStr">
        <is>
          <t>saimanohar.p@osmosys.co</t>
        </is>
      </c>
      <c r="C72" t="n">
        <v>0</v>
      </c>
      <c r="D72" t="n">
        <v>0</v>
      </c>
      <c r="E72" t="n">
        <v>0</v>
      </c>
      <c r="F72" t="n">
        <v>0</v>
      </c>
      <c r="G72" t="n">
        <v>0</v>
      </c>
      <c r="H72" t="n">
        <v>0</v>
      </c>
      <c r="I72" t="n">
        <v>0</v>
      </c>
      <c r="J72" t="n">
        <v>0</v>
      </c>
      <c r="K72" t="n">
        <v>0</v>
      </c>
      <c r="L72" t="n">
        <v>0</v>
      </c>
    </row>
    <row r="73">
      <c r="A73" t="inlineStr">
        <is>
          <t>Sameer Shaik</t>
        </is>
      </c>
      <c r="B73" t="inlineStr">
        <is>
          <t>sameer.shaik@osmosys.co</t>
        </is>
      </c>
      <c r="C73" t="n">
        <v>7</v>
      </c>
      <c r="D73" t="n">
        <v>6</v>
      </c>
      <c r="E73" t="n">
        <v>1</v>
      </c>
      <c r="F73" t="n">
        <v>0</v>
      </c>
      <c r="G73" t="n">
        <v>0</v>
      </c>
      <c r="H73" t="n">
        <v>0</v>
      </c>
      <c r="I73" t="n">
        <v>0</v>
      </c>
      <c r="J73" t="n">
        <v>0</v>
      </c>
      <c r="K73" t="n">
        <v>0</v>
      </c>
      <c r="L73" t="n">
        <v>0</v>
      </c>
    </row>
    <row r="74">
      <c r="A74" t="inlineStr">
        <is>
          <t>Sindhusha</t>
        </is>
      </c>
      <c r="B74" t="inlineStr">
        <is>
          <t>sindhusha.b@osmosys.co</t>
        </is>
      </c>
      <c r="C74" t="n">
        <v>6</v>
      </c>
      <c r="D74" t="n">
        <v>5</v>
      </c>
      <c r="E74" t="n">
        <v>1</v>
      </c>
      <c r="F74" t="n">
        <v>0</v>
      </c>
      <c r="G74" t="n">
        <v>0</v>
      </c>
      <c r="H74" t="n">
        <v>0</v>
      </c>
      <c r="I74" t="n">
        <v>0</v>
      </c>
      <c r="J74" t="n">
        <v>0</v>
      </c>
      <c r="K74" t="n">
        <v>0</v>
      </c>
      <c r="L74" t="n">
        <v>0</v>
      </c>
    </row>
    <row r="75">
      <c r="A75" t="inlineStr">
        <is>
          <t>Raj Kumar</t>
        </is>
      </c>
      <c r="B75" t="inlineStr">
        <is>
          <t>rajkumar.p@osmosys.co</t>
        </is>
      </c>
      <c r="C75" t="n">
        <v>15</v>
      </c>
      <c r="D75" t="n">
        <v>14</v>
      </c>
      <c r="E75" t="n">
        <v>1</v>
      </c>
      <c r="F75" t="n">
        <v>0</v>
      </c>
      <c r="G75" t="n">
        <v>0</v>
      </c>
      <c r="H75" t="n">
        <v>0</v>
      </c>
      <c r="I75" t="n">
        <v>0</v>
      </c>
      <c r="J75" t="n">
        <v>0</v>
      </c>
      <c r="K75" t="n">
        <v>0</v>
      </c>
      <c r="L75" t="n">
        <v>0</v>
      </c>
    </row>
    <row r="76">
      <c r="A76" t="inlineStr">
        <is>
          <t>Vishnu</t>
        </is>
      </c>
      <c r="B76" t="inlineStr">
        <is>
          <t>vishnu.k@osmosys.co</t>
        </is>
      </c>
      <c r="C76" t="n">
        <v>1</v>
      </c>
      <c r="D76" t="n">
        <v>1</v>
      </c>
      <c r="E76" t="n">
        <v>0</v>
      </c>
      <c r="F76" t="n">
        <v>0</v>
      </c>
      <c r="G76" t="n">
        <v>0</v>
      </c>
      <c r="H76" t="n">
        <v>0</v>
      </c>
      <c r="I76" t="n">
        <v>0</v>
      </c>
      <c r="J76" t="n">
        <v>0</v>
      </c>
      <c r="K76" t="n">
        <v>0</v>
      </c>
      <c r="L76" t="n">
        <v>0</v>
      </c>
    </row>
    <row r="77">
      <c r="A77" t="inlineStr">
        <is>
          <t>Srinivas Medida</t>
        </is>
      </c>
      <c r="B77" t="inlineStr">
        <is>
          <t>srinivas.m@osmosys.co</t>
        </is>
      </c>
      <c r="C77" t="n">
        <v>0</v>
      </c>
      <c r="D77" t="n">
        <v>0</v>
      </c>
      <c r="E77" t="n">
        <v>0</v>
      </c>
      <c r="F77" t="n">
        <v>0</v>
      </c>
      <c r="G77" t="n">
        <v>0</v>
      </c>
      <c r="H77" t="n">
        <v>0</v>
      </c>
      <c r="I77" t="n">
        <v>0</v>
      </c>
      <c r="J77" t="n">
        <v>0</v>
      </c>
      <c r="K77" t="n">
        <v>0</v>
      </c>
      <c r="L77" t="n">
        <v>0</v>
      </c>
    </row>
    <row r="78">
      <c r="A78" t="inlineStr">
        <is>
          <t>Chandana Koppula</t>
        </is>
      </c>
      <c r="B78" t="inlineStr">
        <is>
          <t>chandana.k@osmosys.co</t>
        </is>
      </c>
      <c r="C78" t="n">
        <v>0</v>
      </c>
      <c r="D78" t="n">
        <v>0</v>
      </c>
      <c r="E78" t="n">
        <v>0</v>
      </c>
      <c r="F78" t="n">
        <v>0</v>
      </c>
      <c r="G78" t="n">
        <v>0</v>
      </c>
      <c r="H78" t="n">
        <v>0</v>
      </c>
      <c r="I78" t="n">
        <v>0</v>
      </c>
      <c r="J78" t="n">
        <v>0</v>
      </c>
      <c r="K78" t="n">
        <v>0</v>
      </c>
      <c r="L78" t="n">
        <v>0</v>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25"/>
  <sheetViews>
    <sheetView workbookViewId="0">
      <selection activeCell="A1" sqref="A1"/>
    </sheetView>
  </sheetViews>
  <sheetFormatPr baseColWidth="8" defaultRowHeight="15"/>
  <sheetData>
    <row r="1">
      <c r="A1" s="2" t="inlineStr">
        <is>
          <t>Employee UserName</t>
        </is>
      </c>
      <c r="B1" s="2" t="inlineStr">
        <is>
          <t>Comments in PR</t>
        </is>
      </c>
      <c r="C1" s="2" t="inlineStr">
        <is>
          <t>Threads Count</t>
        </is>
      </c>
      <c r="D1" s="2" t="inlineStr">
        <is>
          <t>PRs Merged</t>
        </is>
      </c>
      <c r="E1" s="2" t="inlineStr">
        <is>
          <t>PRs Reviewed</t>
        </is>
      </c>
      <c r="F1" s="2" t="inlineStr">
        <is>
          <t>Good Count</t>
        </is>
      </c>
      <c r="G1" s="2" t="inlineStr">
        <is>
          <t>Bad Count</t>
        </is>
      </c>
      <c r="H1" s="2" t="inlineStr">
        <is>
          <t>Neutral Count</t>
        </is>
      </c>
    </row>
    <row r="2">
      <c r="A2" t="inlineStr">
        <is>
          <t>Sameer Shaik</t>
        </is>
      </c>
      <c r="B2" t="n">
        <v>91</v>
      </c>
      <c r="C2" t="n">
        <v>90</v>
      </c>
      <c r="D2" t="n">
        <v>86</v>
      </c>
      <c r="E2" t="n">
        <v>95</v>
      </c>
      <c r="F2" t="n">
        <v>0</v>
      </c>
      <c r="G2" t="n">
        <v>60</v>
      </c>
      <c r="H2" t="n">
        <v>30</v>
      </c>
    </row>
    <row r="3">
      <c r="A3" t="inlineStr">
        <is>
          <t>Raj Kumar</t>
        </is>
      </c>
      <c r="B3" t="n">
        <v>23</v>
      </c>
      <c r="C3" t="n">
        <v>20</v>
      </c>
      <c r="D3" t="n">
        <v>399</v>
      </c>
      <c r="E3" t="n">
        <v>401</v>
      </c>
      <c r="F3" t="n">
        <v>2</v>
      </c>
      <c r="G3" t="n">
        <v>8</v>
      </c>
      <c r="H3" t="n">
        <v>10</v>
      </c>
    </row>
    <row r="4">
      <c r="A4" t="inlineStr">
        <is>
          <t>Anand Prakash</t>
        </is>
      </c>
      <c r="B4" t="n">
        <v>37</v>
      </c>
      <c r="C4" t="n">
        <v>27</v>
      </c>
      <c r="D4" t="n">
        <v>20</v>
      </c>
      <c r="E4" t="n">
        <v>23</v>
      </c>
      <c r="F4" t="n">
        <v>1</v>
      </c>
      <c r="G4" t="n">
        <v>22</v>
      </c>
      <c r="H4" t="n">
        <v>4</v>
      </c>
    </row>
    <row r="5">
      <c r="A5" t="inlineStr">
        <is>
          <t>Soundariya B</t>
        </is>
      </c>
      <c r="B5" t="n">
        <v>1248</v>
      </c>
      <c r="C5" t="n">
        <v>1045</v>
      </c>
      <c r="D5" t="n">
        <v>22</v>
      </c>
      <c r="E5" t="n">
        <v>148</v>
      </c>
      <c r="F5" t="n">
        <v>47</v>
      </c>
      <c r="G5" t="n">
        <v>787</v>
      </c>
      <c r="H5" t="n">
        <v>211</v>
      </c>
    </row>
    <row r="6">
      <c r="A6" t="inlineStr">
        <is>
          <t>Sindhusha</t>
        </is>
      </c>
      <c r="B6" t="n">
        <v>124</v>
      </c>
      <c r="C6" t="n">
        <v>106</v>
      </c>
      <c r="D6" t="n">
        <v>299</v>
      </c>
      <c r="E6" t="n">
        <v>305</v>
      </c>
      <c r="F6" t="n">
        <v>7</v>
      </c>
      <c r="G6" t="n">
        <v>78</v>
      </c>
      <c r="H6" t="n">
        <v>21</v>
      </c>
    </row>
    <row r="7">
      <c r="A7" t="inlineStr">
        <is>
          <t>Hitesh Kandpal</t>
        </is>
      </c>
      <c r="B7" t="n">
        <v>1</v>
      </c>
      <c r="C7" t="n">
        <v>1</v>
      </c>
      <c r="D7" t="n">
        <v>0</v>
      </c>
      <c r="E7" t="n">
        <v>1</v>
      </c>
      <c r="F7" t="n">
        <v>1</v>
      </c>
      <c r="G7" t="n">
        <v>0</v>
      </c>
      <c r="H7" t="n">
        <v>0</v>
      </c>
    </row>
    <row r="8">
      <c r="A8" t="inlineStr">
        <is>
          <t xml:space="preserve">Mandali Harshavardhan </t>
        </is>
      </c>
      <c r="B8" t="n">
        <v>19</v>
      </c>
      <c r="C8" t="n">
        <v>19</v>
      </c>
      <c r="D8" t="n">
        <v>64</v>
      </c>
      <c r="E8" t="n">
        <v>65</v>
      </c>
      <c r="F8" t="n">
        <v>1</v>
      </c>
      <c r="G8" t="n">
        <v>18</v>
      </c>
      <c r="H8" t="n">
        <v>0</v>
      </c>
    </row>
    <row r="9">
      <c r="A9" t="inlineStr">
        <is>
          <t>Kumar Samarjeet</t>
        </is>
      </c>
      <c r="B9" t="n">
        <v>22</v>
      </c>
      <c r="C9" t="n">
        <v>22</v>
      </c>
      <c r="D9" t="n">
        <v>1</v>
      </c>
      <c r="E9" t="n">
        <v>13</v>
      </c>
      <c r="F9" t="n">
        <v>2</v>
      </c>
      <c r="G9" t="n">
        <v>15</v>
      </c>
      <c r="H9" t="n">
        <v>5</v>
      </c>
    </row>
    <row r="10">
      <c r="A10" t="inlineStr">
        <is>
          <t>Lakhan Badure</t>
        </is>
      </c>
      <c r="B10" t="n">
        <v>2</v>
      </c>
      <c r="C10" t="n">
        <v>2</v>
      </c>
      <c r="D10" t="n">
        <v>0</v>
      </c>
      <c r="E10" t="n">
        <v>1</v>
      </c>
      <c r="F10" t="n">
        <v>0</v>
      </c>
      <c r="G10" t="n">
        <v>1</v>
      </c>
      <c r="H10" t="n">
        <v>1</v>
      </c>
    </row>
    <row r="11">
      <c r="A11" t="inlineStr">
        <is>
          <t>Rupam Vallecha</t>
        </is>
      </c>
      <c r="B11" t="n">
        <v>3</v>
      </c>
      <c r="C11" t="n">
        <v>3</v>
      </c>
      <c r="D11" t="n">
        <v>0</v>
      </c>
      <c r="E11" t="n">
        <v>1</v>
      </c>
      <c r="F11" t="n">
        <v>3</v>
      </c>
      <c r="G11" t="n">
        <v>0</v>
      </c>
      <c r="H11" t="n">
        <v>0</v>
      </c>
    </row>
    <row r="12">
      <c r="A12" t="inlineStr">
        <is>
          <t>Soumi Basak</t>
        </is>
      </c>
      <c r="B12" t="n">
        <v>0</v>
      </c>
      <c r="C12" t="n">
        <v>0</v>
      </c>
      <c r="D12" t="n">
        <v>203</v>
      </c>
      <c r="E12" t="n">
        <v>203</v>
      </c>
      <c r="F12" t="n">
        <v>0</v>
      </c>
      <c r="G12" t="n">
        <v>0</v>
      </c>
      <c r="H12" t="n">
        <v>0</v>
      </c>
    </row>
    <row r="13">
      <c r="A13" t="inlineStr">
        <is>
          <t>Sanskar Jain</t>
        </is>
      </c>
      <c r="B13" t="n">
        <v>0</v>
      </c>
      <c r="C13" t="n">
        <v>0</v>
      </c>
      <c r="D13" t="n">
        <v>1</v>
      </c>
      <c r="E13" t="n">
        <v>1</v>
      </c>
      <c r="F13" t="n">
        <v>0</v>
      </c>
      <c r="G13" t="n">
        <v>0</v>
      </c>
      <c r="H13" t="n">
        <v>0</v>
      </c>
    </row>
    <row r="14">
      <c r="A14" t="inlineStr">
        <is>
          <t>Jaswanth Lingareddy</t>
        </is>
      </c>
      <c r="B14" t="n">
        <v>2</v>
      </c>
      <c r="C14" t="n">
        <v>2</v>
      </c>
      <c r="D14" t="n">
        <v>15</v>
      </c>
      <c r="E14" t="n">
        <v>16</v>
      </c>
      <c r="F14" t="n">
        <v>0</v>
      </c>
      <c r="G14" t="n">
        <v>2</v>
      </c>
      <c r="H14" t="n">
        <v>0</v>
      </c>
    </row>
    <row r="15">
      <c r="A15" t="inlineStr">
        <is>
          <t>Sankalp Gupta</t>
        </is>
      </c>
      <c r="B15" t="n">
        <v>0</v>
      </c>
      <c r="C15" t="n">
        <v>0</v>
      </c>
      <c r="D15" t="n">
        <v>4</v>
      </c>
      <c r="E15" t="n">
        <v>4</v>
      </c>
      <c r="F15" t="n">
        <v>0</v>
      </c>
      <c r="G15" t="n">
        <v>0</v>
      </c>
      <c r="H15" t="n">
        <v>0</v>
      </c>
    </row>
    <row r="16">
      <c r="A16" t="inlineStr">
        <is>
          <t>Abhinav Srivastava</t>
        </is>
      </c>
      <c r="B16" t="n">
        <v>1</v>
      </c>
      <c r="C16" t="n">
        <v>1</v>
      </c>
      <c r="D16" t="n">
        <v>0</v>
      </c>
      <c r="E16" t="n">
        <v>1</v>
      </c>
      <c r="F16" t="n">
        <v>0</v>
      </c>
      <c r="G16" t="n">
        <v>1</v>
      </c>
      <c r="H16" t="n">
        <v>0</v>
      </c>
    </row>
    <row r="17">
      <c r="A17" t="inlineStr">
        <is>
          <t>Vishnu</t>
        </is>
      </c>
      <c r="B17" t="n">
        <v>3</v>
      </c>
      <c r="C17" t="n">
        <v>3</v>
      </c>
      <c r="D17" t="n">
        <v>16</v>
      </c>
      <c r="E17" t="n">
        <v>16</v>
      </c>
      <c r="F17" t="n">
        <v>0</v>
      </c>
      <c r="G17" t="n">
        <v>2</v>
      </c>
      <c r="H17" t="n">
        <v>1</v>
      </c>
    </row>
    <row r="18">
      <c r="A18" t="inlineStr">
        <is>
          <t>Saimanohar</t>
        </is>
      </c>
      <c r="B18" t="n">
        <v>0</v>
      </c>
      <c r="C18" t="n">
        <v>0</v>
      </c>
      <c r="D18" t="n">
        <v>4</v>
      </c>
      <c r="E18" t="n">
        <v>4</v>
      </c>
      <c r="F18" t="n">
        <v>0</v>
      </c>
      <c r="G18" t="n">
        <v>0</v>
      </c>
      <c r="H18" t="n">
        <v>0</v>
      </c>
    </row>
    <row r="19">
      <c r="A19" t="inlineStr">
        <is>
          <t>Yashwanth M</t>
        </is>
      </c>
      <c r="B19" t="n">
        <v>0</v>
      </c>
      <c r="C19" t="n">
        <v>0</v>
      </c>
      <c r="D19" t="n">
        <v>15</v>
      </c>
      <c r="E19" t="n">
        <v>15</v>
      </c>
      <c r="F19" t="n">
        <v>0</v>
      </c>
      <c r="G19" t="n">
        <v>0</v>
      </c>
      <c r="H19" t="n">
        <v>0</v>
      </c>
    </row>
    <row r="20">
      <c r="A20" t="inlineStr">
        <is>
          <t>Harish</t>
        </is>
      </c>
      <c r="B20" t="n">
        <v>14</v>
      </c>
      <c r="C20" t="n">
        <v>14</v>
      </c>
      <c r="D20" t="n">
        <v>0</v>
      </c>
      <c r="E20" t="n">
        <v>4</v>
      </c>
      <c r="F20" t="n">
        <v>2</v>
      </c>
      <c r="G20" t="n">
        <v>11</v>
      </c>
      <c r="H20" t="n">
        <v>1</v>
      </c>
    </row>
    <row r="21">
      <c r="A21" t="inlineStr">
        <is>
          <t>Shreyansh Jain</t>
        </is>
      </c>
      <c r="B21" t="n">
        <v>0</v>
      </c>
      <c r="C21" t="n">
        <v>0</v>
      </c>
      <c r="D21" t="n">
        <v>29</v>
      </c>
      <c r="E21" t="n">
        <v>29</v>
      </c>
      <c r="F21" t="n">
        <v>0</v>
      </c>
      <c r="G21" t="n">
        <v>0</v>
      </c>
      <c r="H21" t="n">
        <v>0</v>
      </c>
    </row>
    <row r="22">
      <c r="A22" t="inlineStr">
        <is>
          <t>Yashwant Thombre</t>
        </is>
      </c>
      <c r="B22" t="n">
        <v>0</v>
      </c>
      <c r="C22" t="n">
        <v>0</v>
      </c>
      <c r="D22" t="n">
        <v>5</v>
      </c>
      <c r="E22" t="n">
        <v>5</v>
      </c>
      <c r="F22" t="n">
        <v>0</v>
      </c>
      <c r="G22" t="n">
        <v>0</v>
      </c>
      <c r="H22" t="n">
        <v>0</v>
      </c>
    </row>
    <row r="23">
      <c r="A23" t="inlineStr">
        <is>
          <t>Sagar Aswar</t>
        </is>
      </c>
      <c r="B23" t="n">
        <v>2</v>
      </c>
      <c r="C23" t="n">
        <v>2</v>
      </c>
      <c r="D23" t="n">
        <v>0</v>
      </c>
      <c r="E23" t="n">
        <v>1</v>
      </c>
      <c r="F23" t="n">
        <v>0</v>
      </c>
      <c r="G23" t="n">
        <v>2</v>
      </c>
      <c r="H23" t="n">
        <v>0</v>
      </c>
    </row>
    <row r="24">
      <c r="A24" t="inlineStr">
        <is>
          <t>talking-buddy-app</t>
        </is>
      </c>
      <c r="B24" t="n">
        <v>0</v>
      </c>
      <c r="C24" t="n">
        <v>0</v>
      </c>
      <c r="D24" t="n">
        <v>1</v>
      </c>
      <c r="E24" t="n">
        <v>1</v>
      </c>
      <c r="F24" t="n">
        <v>0</v>
      </c>
      <c r="G24" t="n">
        <v>0</v>
      </c>
      <c r="H24" t="n">
        <v>0</v>
      </c>
    </row>
    <row r="25">
      <c r="A25" t="inlineStr">
        <is>
          <t>Dhruv Pahadia</t>
        </is>
      </c>
      <c r="B25" t="n">
        <v>0</v>
      </c>
      <c r="C25" t="n">
        <v>0</v>
      </c>
      <c r="D25" t="n">
        <v>1</v>
      </c>
      <c r="E25" t="n">
        <v>1</v>
      </c>
      <c r="F25" t="n">
        <v>0</v>
      </c>
      <c r="G25" t="n">
        <v>0</v>
      </c>
      <c r="H25" t="n">
        <v>0</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2025-08-03T07:55:17Z</dcterms:created>
  <dcterms:modified xsi:type="dcterms:W3CDTF">2025-08-03T07:55:18Z</dcterms:modified>
</cp:coreProperties>
</file>